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6.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7.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8.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9.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10.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1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12.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13.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drawings/drawing14.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drawings/drawing15.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16.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drawings/drawing17.xml" ContentType="application/vnd.openxmlformats-officedocument.drawing+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drawings/drawing18.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drawings/drawing19.xml" ContentType="application/vnd.openxmlformats-officedocument.drawing+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drawings/drawing20.xml" ContentType="application/vnd.openxmlformats-officedocument.drawing+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drawings/drawing21.xml" ContentType="application/vnd.openxmlformats-officedocument.drawing+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drawings/drawing22.xml" ContentType="application/vnd.openxmlformats-officedocument.drawing+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drawings/drawing23.xml" ContentType="application/vnd.openxmlformats-officedocument.drawing+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drawings/drawing24.xml" ContentType="application/vnd.openxmlformats-officedocument.drawing+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drawings/drawing25.xml" ContentType="application/vnd.openxmlformats-officedocument.drawing+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drawings/drawing26.xml" ContentType="application/vnd.openxmlformats-officedocument.drawing+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drawings/drawing27.xml" ContentType="application/vnd.openxmlformats-officedocument.drawing+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drawings/drawing28.xml" ContentType="application/vnd.openxmlformats-officedocument.drawing+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drawings/drawing29.xml" ContentType="application/vnd.openxmlformats-officedocument.drawing+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Override PartName="/xl/drawings/drawing30.xml" ContentType="application/vnd.openxmlformats-officedocument.drawing+xml"/>
  <Override PartName="/xl/charts/chart349.xml" ContentType="application/vnd.openxmlformats-officedocument.drawingml.chart+xml"/>
  <Override PartName="/xl/charts/chart350.xml" ContentType="application/vnd.openxmlformats-officedocument.drawingml.chart+xml"/>
  <Override PartName="/xl/charts/chart351.xml" ContentType="application/vnd.openxmlformats-officedocument.drawingml.chart+xml"/>
  <Override PartName="/xl/charts/chart352.xml" ContentType="application/vnd.openxmlformats-officedocument.drawingml.chart+xml"/>
  <Override PartName="/xl/charts/chart353.xml" ContentType="application/vnd.openxmlformats-officedocument.drawingml.chart+xml"/>
  <Override PartName="/xl/charts/chart354.xml" ContentType="application/vnd.openxmlformats-officedocument.drawingml.chart+xml"/>
  <Override PartName="/xl/charts/chart355.xml" ContentType="application/vnd.openxmlformats-officedocument.drawingml.chart+xml"/>
  <Override PartName="/xl/charts/chart356.xml" ContentType="application/vnd.openxmlformats-officedocument.drawingml.chart+xml"/>
  <Override PartName="/xl/charts/chart357.xml" ContentType="application/vnd.openxmlformats-officedocument.drawingml.chart+xml"/>
  <Override PartName="/xl/charts/chart358.xml" ContentType="application/vnd.openxmlformats-officedocument.drawingml.chart+xml"/>
  <Override PartName="/xl/charts/chart359.xml" ContentType="application/vnd.openxmlformats-officedocument.drawingml.chart+xml"/>
  <Override PartName="/xl/charts/chart36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C:\Users\g_anderson\Downloads\"/>
    </mc:Choice>
  </mc:AlternateContent>
  <xr:revisionPtr revIDLastSave="0" documentId="13_ncr:1_{11AD4862-4662-45F3-91C1-8D547CA70FE0}" xr6:coauthVersionLast="47" xr6:coauthVersionMax="47" xr10:uidLastSave="{00000000-0000-0000-0000-000000000000}"/>
  <bookViews>
    <workbookView xWindow="-120" yWindow="-120" windowWidth="29040" windowHeight="15840" xr2:uid="{63DA95A9-3527-4752-9D56-7166A38D941D}"/>
  </bookViews>
  <sheets>
    <sheet name="Contents" sheetId="1" r:id="rId1"/>
    <sheet name="Notes" sheetId="42" r:id="rId2"/>
    <sheet name="Highlights" sheetId="41" r:id="rId3"/>
    <sheet name="Segmentation Criteria" sheetId="40" r:id="rId4"/>
    <sheet name="Summary 2020" sheetId="3" r:id="rId5"/>
    <sheet name="Summary 2021" sheetId="2" r:id="rId6"/>
    <sheet name="Area VIIa demersal trawl" sheetId="4" r:id="rId7"/>
    <sheet name="Area VIIa nephrops o250kW" sheetId="5" r:id="rId8"/>
    <sheet name="Area VIIa nephrops u250kW" sheetId="6" r:id="rId9"/>
    <sheet name="Area VIIb-k trawlers 24-40m" sheetId="7" r:id="rId10"/>
    <sheet name="Area VIIb-k trawlers 10-24m" sheetId="8" r:id="rId11"/>
    <sheet name="Gill netters" sheetId="9" r:id="rId12"/>
    <sheet name="Longliners" sheetId="11" r:id="rId13"/>
    <sheet name="Low activity over 10m" sheetId="12" r:id="rId14"/>
    <sheet name="Low activity under 10m" sheetId="13" r:id="rId15"/>
    <sheet name="NS beam trawl over 300kW" sheetId="15" r:id="rId16"/>
    <sheet name="NS beam trawl under 300kW" sheetId="16" r:id="rId17"/>
    <sheet name="NS nephrops over 300kW" sheetId="17" r:id="rId18"/>
    <sheet name="NS nephrops under 300kW" sheetId="18" r:id="rId19"/>
    <sheet name="NSWOS demersal over 24m" sheetId="19" r:id="rId20"/>
    <sheet name="NSWOS dem pair trawl seine" sheetId="20" r:id="rId21"/>
    <sheet name="NSWOS demersal seiners" sheetId="21" r:id="rId22"/>
    <sheet name="NSWOS demersal u24m o300kW" sheetId="22" r:id="rId23"/>
    <sheet name="NSWOS demersal u24m u300kW" sheetId="23" r:id="rId24"/>
    <sheet name="Pots and traps 10-12m" sheetId="25" r:id="rId25"/>
    <sheet name="Pots and traps over 12m" sheetId="26" r:id="rId26"/>
    <sheet name="South West beamers o250kW" sheetId="27" r:id="rId27"/>
    <sheet name="South West beamers u250kW" sheetId="28" r:id="rId28"/>
    <sheet name="UK scallop dredge over 15m" sheetId="29" r:id="rId29"/>
    <sheet name="UK scallop dredge under 15m" sheetId="30" r:id="rId30"/>
    <sheet name="U10m demersal trawl-seine" sheetId="31" r:id="rId31"/>
    <sheet name="U10m drift-fixed nets" sheetId="32" r:id="rId32"/>
    <sheet name="U10m pots and traps" sheetId="33" r:id="rId33"/>
    <sheet name="U10m using hooks" sheetId="34" r:id="rId34"/>
    <sheet name="WOS nephrops over 250kW" sheetId="35" r:id="rId35"/>
    <sheet name="WOS nephrops under 250kW" sheetId="36" r:id="rId36"/>
    <sheet name="Sample rates" sheetId="39" r:id="rId37"/>
    <sheet name="Operating profit margin" sheetId="38" r:id="rId38"/>
    <sheet name="Net profit margin" sheetId="37" r:id="rId39"/>
  </sheets>
  <externalReferences>
    <externalReference r:id="rId40"/>
  </externalReferences>
  <definedNames>
    <definedName name="Area_VIIa_demersal_trawl">'Area VIIa demersal trawl'!$A$1</definedName>
    <definedName name="Area_VIIa_nephrops_o250kW">'Area VIIa nephrops o250kW'!$A$1</definedName>
    <definedName name="Area_VIIa_nephrops_u250kW">'Area VIIa nephrops u250kW'!$A$1</definedName>
    <definedName name="Area_VIIb_k_trawlers_10_24m">'Area VIIb-k trawlers 10-24m'!$A$1</definedName>
    <definedName name="Area_VIIb_k_trawlers_24_40m">'Area VIIb-k trawlers 24-40m'!$A$1</definedName>
    <definedName name="Gill_netters">'Gill netters'!$A$1</definedName>
    <definedName name="Highlights">Highlights!$A$1</definedName>
    <definedName name="Home_page">Contents!$A$1</definedName>
    <definedName name="Inactive">#REF!</definedName>
    <definedName name="Longliners">Longliners!$A$1</definedName>
    <definedName name="Low_activity_over_10m">'Low activity over 10m'!$A$1</definedName>
    <definedName name="Low_activity_under_10m">'Low activity under 10m'!$A$1</definedName>
    <definedName name="Miscellaneous">#REF!</definedName>
    <definedName name="Net_profit_margin">'Net profit margin'!$A$1</definedName>
    <definedName name="Notes">Notes!$A$1</definedName>
    <definedName name="NS_beam_trawl_over_300kW">'NS beam trawl over 300kW'!$A$1</definedName>
    <definedName name="NS_beam_trawl_under_300kW">'NS beam trawl under 300kW'!$A$1</definedName>
    <definedName name="NS_nephrops_over_300kW">'NS nephrops over 300kW'!$A$1</definedName>
    <definedName name="NS_nephrops_under_300kW">'NS nephrops under 300kW'!$A$1</definedName>
    <definedName name="NSWOS_dem_pair_trawl_seine">'NSWOS dem pair trawl seine'!$A$1</definedName>
    <definedName name="NSWOS_demersal_over_24m">'NSWOS demersal over 24m'!$A$1</definedName>
    <definedName name="NSWOS_demersal_seiners">'NSWOS demersal seiners'!$A$1</definedName>
    <definedName name="NSWOS_demersal_u24m_o300kW">'NSWOS demersal u24m o300kW'!$A$1</definedName>
    <definedName name="NSWOS_demersal_u24m_u300kW">'NSWOS demersal u24m u300kW'!$A$1</definedName>
    <definedName name="Operating_profit_margin">'Operating profit margin'!$A$1</definedName>
    <definedName name="Pelagic_over_40m">#REF!</definedName>
    <definedName name="Pots_and_traps_10_12m">'Pots and traps 10-12m'!$A$1</definedName>
    <definedName name="Pots_and_traps_over_12m">'Pots and traps over 12m'!$A$1</definedName>
    <definedName name="_xlnm.Print_Area" localSheetId="6">'Area VIIa demersal trawl'!$A$1:$Q$153</definedName>
    <definedName name="_xlnm.Print_Area" localSheetId="7">'Area VIIa nephrops o250kW'!$A$1:$Q$153</definedName>
    <definedName name="_xlnm.Print_Area" localSheetId="8">'Area VIIa nephrops u250kW'!$A$1:$Q$153</definedName>
    <definedName name="_xlnm.Print_Area" localSheetId="10">'Area VIIb-k trawlers 10-24m'!$A$1:$Q$153</definedName>
    <definedName name="_xlnm.Print_Area" localSheetId="9">'Area VIIb-k trawlers 24-40m'!$A$1:$Q$153</definedName>
    <definedName name="_xlnm.Print_Area" localSheetId="11">'Gill netters'!$A$1:$Q$153</definedName>
    <definedName name="_xlnm.Print_Area" localSheetId="2">Highlights!$B$1:$B$31</definedName>
    <definedName name="_xlnm.Print_Area" localSheetId="12">Longliners!$A$1:$Q$153</definedName>
    <definedName name="_xlnm.Print_Area" localSheetId="13">'Low activity over 10m'!$A$1:$Q$153</definedName>
    <definedName name="_xlnm.Print_Area" localSheetId="14">'Low activity under 10m'!$A$1:$Q$153</definedName>
    <definedName name="_xlnm.Print_Area" localSheetId="1">Notes!$A$1:$C$40</definedName>
    <definedName name="_xlnm.Print_Area" localSheetId="15">'NS beam trawl over 300kW'!$A$1:$Q$153</definedName>
    <definedName name="_xlnm.Print_Area" localSheetId="16">'NS beam trawl under 300kW'!$A$1:$Q$153</definedName>
    <definedName name="_xlnm.Print_Area" localSheetId="17">'NS nephrops over 300kW'!$A$1:$Q$153</definedName>
    <definedName name="_xlnm.Print_Area" localSheetId="18">'NS nephrops under 300kW'!$A$1:$Q$153</definedName>
    <definedName name="_xlnm.Print_Area" localSheetId="20">'NSWOS dem pair trawl seine'!$A$1:$Q$153</definedName>
    <definedName name="_xlnm.Print_Area" localSheetId="19">'NSWOS demersal over 24m'!$A$1:$Q$153</definedName>
    <definedName name="_xlnm.Print_Area" localSheetId="21">'NSWOS demersal seiners'!$A$1:$Q$153</definedName>
    <definedName name="_xlnm.Print_Area" localSheetId="22">'NSWOS demersal u24m o300kW'!$A$1:$Q$153</definedName>
    <definedName name="_xlnm.Print_Area" localSheetId="23">'NSWOS demersal u24m u300kW'!$A$1:$Q$153</definedName>
    <definedName name="_xlnm.Print_Area" localSheetId="24">'Pots and traps 10-12m'!$A$1:$Q$153</definedName>
    <definedName name="_xlnm.Print_Area" localSheetId="25">'Pots and traps over 12m'!$A$1:$Q$153</definedName>
    <definedName name="_xlnm.Print_Area" localSheetId="26">'South West beamers o250kW'!$A$1:$Q$153</definedName>
    <definedName name="_xlnm.Print_Area" localSheetId="27">'South West beamers u250kW'!$A$1:$Q$153</definedName>
    <definedName name="_xlnm.Print_Area" localSheetId="30">'U10m demersal trawl-seine'!$A$1:$Q$153</definedName>
    <definedName name="_xlnm.Print_Area" localSheetId="31">'U10m drift-fixed nets'!$A$1:$Q$153</definedName>
    <definedName name="_xlnm.Print_Area" localSheetId="32">'U10m pots and traps'!$A$1:$Q$153</definedName>
    <definedName name="_xlnm.Print_Area" localSheetId="33">'U10m using hooks'!$A$1:$Q$153</definedName>
    <definedName name="_xlnm.Print_Area" localSheetId="28">'UK scallop dredge over 15m'!$A$1:$Q$153</definedName>
    <definedName name="_xlnm.Print_Area" localSheetId="29">'UK scallop dredge under 15m'!$A$1:$Q$153</definedName>
    <definedName name="_xlnm.Print_Area" localSheetId="34">'WOS nephrops over 250kW'!$A$1:$Q$153</definedName>
    <definedName name="_xlnm.Print_Area" localSheetId="35">'WOS nephrops under 250kW'!$A$1:$Q$153</definedName>
    <definedName name="rounding_export" localSheetId="1">'[1]Segment tables'!$D$4</definedName>
    <definedName name="Sample_rates">'Sample rates'!$A$1</definedName>
    <definedName name="Segmentation_Criteria">'Segmentation Criteria'!#REF!</definedName>
    <definedName name="short_names" localSheetId="1">'[1]Segment tables'!$A$63:$B$95</definedName>
    <definedName name="small_numbers" localSheetId="1">'[1]Segment tables'!$B$4</definedName>
    <definedName name="South_West_beamers_o250kW">'South West beamers o250kW'!$A$1</definedName>
    <definedName name="South_West_beamers_u250kW">'South West beamers u250kW'!$A$1</definedName>
    <definedName name="sp_names" localSheetId="1">'[1]Species names'!$A$2:$B$119</definedName>
    <definedName name="Summary_last">'Summary 2020'!$A$1</definedName>
    <definedName name="Summary_projection">'Summary 2021'!$A$1</definedName>
    <definedName name="table_change" localSheetId="1">'[1]Segment tables'!$A$59:$C$61</definedName>
    <definedName name="U10m_demersal_trawl_seine">'U10m demersal trawl-seine'!$A$1</definedName>
    <definedName name="U10m_drift_fixed_nets">'U10m drift-fixed nets'!$A$1</definedName>
    <definedName name="U10m_pots_and_traps">'U10m pots and traps'!$A$1</definedName>
    <definedName name="U10m_using_hooks">'U10m using hooks'!$A$1</definedName>
    <definedName name="UK_scallop_dredge_over_15m">'UK scallop dredge over 15m'!$A$1</definedName>
    <definedName name="UK_scallop_dredge_under_15m">'UK scallop dredge under 15m'!$A$1</definedName>
    <definedName name="WOS_nephrops_over_250kW">'WOS nephrops over 250kW'!$A$1</definedName>
    <definedName name="WOS_nephrops_under_250kW">'WOS nephrops under 250kW'!$A$1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2" i="36" l="1"/>
  <c r="E142" i="36"/>
  <c r="N141" i="36" s="1"/>
  <c r="D142" i="36"/>
  <c r="C142" i="36"/>
  <c r="F141" i="36"/>
  <c r="E141" i="36"/>
  <c r="N140" i="36" s="1"/>
  <c r="D141" i="36"/>
  <c r="M140" i="36" s="1"/>
  <c r="C141" i="36"/>
  <c r="L140" i="36" s="1"/>
  <c r="F140" i="36"/>
  <c r="E140" i="36"/>
  <c r="N139" i="36" s="1"/>
  <c r="D140" i="36"/>
  <c r="M139" i="36" s="1"/>
  <c r="C140" i="36"/>
  <c r="L139" i="36" s="1"/>
  <c r="F139" i="36"/>
  <c r="E139" i="36"/>
  <c r="D139" i="36"/>
  <c r="C139" i="36"/>
  <c r="F138" i="36"/>
  <c r="E138" i="36"/>
  <c r="D138" i="36"/>
  <c r="C138" i="36"/>
  <c r="F135" i="36"/>
  <c r="E135" i="36"/>
  <c r="D135" i="36"/>
  <c r="C135" i="36"/>
  <c r="F134" i="36"/>
  <c r="E134" i="36"/>
  <c r="D134" i="36"/>
  <c r="C134" i="36"/>
  <c r="F133" i="36"/>
  <c r="E133" i="36"/>
  <c r="D133" i="36"/>
  <c r="C133" i="36"/>
  <c r="F132" i="36"/>
  <c r="E132" i="36"/>
  <c r="D132" i="36"/>
  <c r="C132" i="36"/>
  <c r="F130" i="36"/>
  <c r="E130" i="36"/>
  <c r="D130" i="36"/>
  <c r="C130" i="36"/>
  <c r="F126" i="36"/>
  <c r="E126" i="36"/>
  <c r="D126" i="36"/>
  <c r="C126" i="36"/>
  <c r="M41" i="36"/>
  <c r="L41" i="36"/>
  <c r="K41" i="36"/>
  <c r="J41" i="36"/>
  <c r="I41" i="36"/>
  <c r="H41" i="36"/>
  <c r="G41" i="36"/>
  <c r="F41" i="36"/>
  <c r="E41" i="36"/>
  <c r="D41" i="36"/>
  <c r="M40" i="36"/>
  <c r="L40" i="36"/>
  <c r="K40" i="36"/>
  <c r="J40" i="36"/>
  <c r="I40" i="36"/>
  <c r="H40" i="36"/>
  <c r="G40" i="36"/>
  <c r="F40" i="36"/>
  <c r="E40" i="36"/>
  <c r="D40" i="36"/>
  <c r="M39" i="36"/>
  <c r="L39" i="36"/>
  <c r="K39" i="36"/>
  <c r="J39" i="36"/>
  <c r="I39" i="36"/>
  <c r="H39" i="36"/>
  <c r="G39" i="36"/>
  <c r="F39" i="36"/>
  <c r="E39" i="36"/>
  <c r="D39" i="36"/>
  <c r="M38" i="36"/>
  <c r="L38" i="36"/>
  <c r="K38" i="36"/>
  <c r="J38" i="36"/>
  <c r="I38" i="36"/>
  <c r="H38" i="36"/>
  <c r="G38" i="36"/>
  <c r="F38" i="36"/>
  <c r="E38" i="36"/>
  <c r="D38" i="36"/>
  <c r="M37" i="36"/>
  <c r="L37" i="36"/>
  <c r="K37" i="36"/>
  <c r="J37" i="36"/>
  <c r="P37" i="36" s="1"/>
  <c r="I37" i="36"/>
  <c r="H37" i="36"/>
  <c r="G37" i="36"/>
  <c r="F37" i="36"/>
  <c r="E37" i="36"/>
  <c r="D37" i="36"/>
  <c r="O37" i="36" s="1"/>
  <c r="M36" i="36"/>
  <c r="L36" i="36"/>
  <c r="K36" i="36"/>
  <c r="J36" i="36"/>
  <c r="P36" i="36" s="1"/>
  <c r="I36" i="36"/>
  <c r="H36" i="36"/>
  <c r="G36" i="36"/>
  <c r="F36" i="36"/>
  <c r="E36" i="36"/>
  <c r="D36" i="36"/>
  <c r="M35" i="36"/>
  <c r="L35" i="36"/>
  <c r="K35" i="36"/>
  <c r="J35" i="36"/>
  <c r="P35" i="36" s="1"/>
  <c r="I35" i="36"/>
  <c r="H35" i="36"/>
  <c r="G35" i="36"/>
  <c r="F35" i="36"/>
  <c r="E35" i="36"/>
  <c r="D35" i="36"/>
  <c r="O35" i="36" s="1"/>
  <c r="M34" i="36"/>
  <c r="L34" i="36"/>
  <c r="K34" i="36"/>
  <c r="J34" i="36"/>
  <c r="P34" i="36" s="1"/>
  <c r="I34" i="36"/>
  <c r="H34" i="36"/>
  <c r="G34" i="36"/>
  <c r="F34" i="36"/>
  <c r="E34" i="36"/>
  <c r="D34" i="36"/>
  <c r="M33" i="36"/>
  <c r="L33" i="36"/>
  <c r="K33" i="36"/>
  <c r="J33" i="36"/>
  <c r="P33" i="36" s="1"/>
  <c r="I33" i="36"/>
  <c r="H33" i="36"/>
  <c r="G33" i="36"/>
  <c r="F33" i="36"/>
  <c r="E33" i="36"/>
  <c r="D33" i="36"/>
  <c r="O33" i="36" s="1"/>
  <c r="M32" i="36"/>
  <c r="L32" i="36"/>
  <c r="K32" i="36"/>
  <c r="J32" i="36"/>
  <c r="P32" i="36" s="1"/>
  <c r="I32" i="36"/>
  <c r="H32" i="36"/>
  <c r="G32" i="36"/>
  <c r="F32" i="36"/>
  <c r="E32" i="36"/>
  <c r="D32" i="36"/>
  <c r="M31" i="36"/>
  <c r="L31" i="36"/>
  <c r="K31" i="36"/>
  <c r="J31" i="36"/>
  <c r="P31" i="36" s="1"/>
  <c r="I31" i="36"/>
  <c r="H31" i="36"/>
  <c r="G31" i="36"/>
  <c r="F31" i="36"/>
  <c r="E31" i="36"/>
  <c r="D31" i="36"/>
  <c r="M30" i="36"/>
  <c r="L30" i="36"/>
  <c r="K30" i="36"/>
  <c r="J30" i="36"/>
  <c r="P30" i="36" s="1"/>
  <c r="I30" i="36"/>
  <c r="H30" i="36"/>
  <c r="G30" i="36"/>
  <c r="F30" i="36"/>
  <c r="E30" i="36"/>
  <c r="D30" i="36"/>
  <c r="M29" i="36"/>
  <c r="L29" i="36"/>
  <c r="K29" i="36"/>
  <c r="J29" i="36"/>
  <c r="P29" i="36" s="1"/>
  <c r="I29" i="36"/>
  <c r="H29" i="36"/>
  <c r="G29" i="36"/>
  <c r="F29" i="36"/>
  <c r="E29" i="36"/>
  <c r="D29" i="36"/>
  <c r="O29" i="36" s="1"/>
  <c r="M28" i="36"/>
  <c r="L28" i="36"/>
  <c r="K28" i="36"/>
  <c r="J28" i="36"/>
  <c r="P28" i="36" s="1"/>
  <c r="I28" i="36"/>
  <c r="H28" i="36"/>
  <c r="G28" i="36"/>
  <c r="F28" i="36"/>
  <c r="E28" i="36"/>
  <c r="D28" i="36"/>
  <c r="M27" i="36"/>
  <c r="L27" i="36"/>
  <c r="K27" i="36"/>
  <c r="J27" i="36"/>
  <c r="P27" i="36" s="1"/>
  <c r="I27" i="36"/>
  <c r="H27" i="36"/>
  <c r="G27" i="36"/>
  <c r="F27" i="36"/>
  <c r="E27" i="36"/>
  <c r="D27" i="36"/>
  <c r="O27" i="36" s="1"/>
  <c r="M26" i="36"/>
  <c r="L26" i="36"/>
  <c r="K26" i="36"/>
  <c r="J26" i="36"/>
  <c r="I26" i="36"/>
  <c r="H26" i="36"/>
  <c r="G26" i="36"/>
  <c r="F26" i="36"/>
  <c r="E26" i="36"/>
  <c r="D26" i="36"/>
  <c r="M25" i="36"/>
  <c r="L25" i="36"/>
  <c r="K25" i="36"/>
  <c r="J25" i="36"/>
  <c r="I25" i="36"/>
  <c r="H25" i="36"/>
  <c r="G25" i="36"/>
  <c r="F25" i="36"/>
  <c r="E25" i="36"/>
  <c r="D25" i="36"/>
  <c r="M24" i="36"/>
  <c r="L24" i="36"/>
  <c r="K24" i="36"/>
  <c r="J24" i="36"/>
  <c r="P24" i="36" s="1"/>
  <c r="I24" i="36"/>
  <c r="H24" i="36"/>
  <c r="G24" i="36"/>
  <c r="F24" i="36"/>
  <c r="E24" i="36"/>
  <c r="D24" i="36"/>
  <c r="M23" i="36"/>
  <c r="L23" i="36"/>
  <c r="K23" i="36"/>
  <c r="J23" i="36"/>
  <c r="P23" i="36" s="1"/>
  <c r="I23" i="36"/>
  <c r="H23" i="36"/>
  <c r="G23" i="36"/>
  <c r="F23" i="36"/>
  <c r="E23" i="36"/>
  <c r="D23" i="36"/>
  <c r="O23" i="36" s="1"/>
  <c r="M22" i="36"/>
  <c r="L22" i="36"/>
  <c r="K22" i="36"/>
  <c r="J22" i="36"/>
  <c r="P22" i="36" s="1"/>
  <c r="I22" i="36"/>
  <c r="H22" i="36"/>
  <c r="G22" i="36"/>
  <c r="F22" i="36"/>
  <c r="E22" i="36"/>
  <c r="D22" i="36"/>
  <c r="M20" i="36"/>
  <c r="L20" i="36"/>
  <c r="K20" i="36"/>
  <c r="J20" i="36"/>
  <c r="P20" i="36" s="1"/>
  <c r="I20" i="36"/>
  <c r="H20" i="36"/>
  <c r="G20" i="36"/>
  <c r="F20" i="36"/>
  <c r="E20" i="36"/>
  <c r="D20" i="36"/>
  <c r="M16" i="36"/>
  <c r="L16" i="36"/>
  <c r="K16" i="36"/>
  <c r="J16" i="36"/>
  <c r="P16" i="36" s="1"/>
  <c r="I16" i="36"/>
  <c r="H16" i="36"/>
  <c r="G16" i="36"/>
  <c r="F16" i="36"/>
  <c r="E16" i="36"/>
  <c r="D16" i="36"/>
  <c r="O16" i="36" s="1"/>
  <c r="M8" i="36"/>
  <c r="L8" i="36"/>
  <c r="K8" i="36"/>
  <c r="J8" i="36"/>
  <c r="P8" i="36" s="1"/>
  <c r="I8" i="36"/>
  <c r="H8" i="36"/>
  <c r="G8" i="36"/>
  <c r="F8" i="36"/>
  <c r="E8" i="36"/>
  <c r="D8" i="36"/>
  <c r="O8" i="36" s="1"/>
  <c r="M141" i="36"/>
  <c r="L141" i="36"/>
  <c r="N138" i="36"/>
  <c r="M138" i="36"/>
  <c r="L138" i="36"/>
  <c r="B114" i="36"/>
  <c r="S89" i="36" s="1"/>
  <c r="F114" i="36" s="1"/>
  <c r="B152" i="36" s="1"/>
  <c r="A76" i="36"/>
  <c r="P41" i="36"/>
  <c r="O41" i="36"/>
  <c r="P40" i="36"/>
  <c r="O40" i="36"/>
  <c r="P39" i="36"/>
  <c r="O39" i="36"/>
  <c r="P38" i="36"/>
  <c r="O38" i="36"/>
  <c r="K48" i="36"/>
  <c r="A49" i="36"/>
  <c r="P21" i="36"/>
  <c r="O21" i="36"/>
  <c r="A48" i="36"/>
  <c r="P19" i="36"/>
  <c r="O19" i="36"/>
  <c r="O18" i="36"/>
  <c r="O17" i="36"/>
  <c r="P17" i="36"/>
  <c r="P15" i="36"/>
  <c r="O15" i="36"/>
  <c r="O14" i="36"/>
  <c r="P13" i="36"/>
  <c r="O13" i="36"/>
  <c r="O12" i="36"/>
  <c r="P12" i="36"/>
  <c r="P11" i="36"/>
  <c r="O11" i="36"/>
  <c r="O10" i="36"/>
  <c r="P9" i="36"/>
  <c r="O9" i="36"/>
  <c r="P7" i="36"/>
  <c r="O7" i="36"/>
  <c r="O6" i="36"/>
  <c r="P5" i="36"/>
  <c r="O5" i="36"/>
  <c r="O4" i="36"/>
  <c r="P4" i="36"/>
  <c r="P3" i="36"/>
  <c r="O3" i="36"/>
  <c r="P2" i="36"/>
  <c r="O2" i="36"/>
  <c r="P42" i="36"/>
  <c r="P89" i="36" s="1"/>
  <c r="P152" i="36" s="1"/>
  <c r="F76" i="36"/>
  <c r="F142" i="35"/>
  <c r="E142" i="35"/>
  <c r="N141" i="35" s="1"/>
  <c r="D142" i="35"/>
  <c r="C142" i="35"/>
  <c r="F141" i="35"/>
  <c r="E141" i="35"/>
  <c r="N140" i="35" s="1"/>
  <c r="D141" i="35"/>
  <c r="M140" i="35" s="1"/>
  <c r="C141" i="35"/>
  <c r="L140" i="35" s="1"/>
  <c r="F140" i="35"/>
  <c r="E140" i="35"/>
  <c r="N139" i="35" s="1"/>
  <c r="D140" i="35"/>
  <c r="M139" i="35" s="1"/>
  <c r="C140" i="35"/>
  <c r="L139" i="35" s="1"/>
  <c r="F139" i="35"/>
  <c r="E139" i="35"/>
  <c r="D139" i="35"/>
  <c r="C139" i="35"/>
  <c r="F138" i="35"/>
  <c r="E138" i="35"/>
  <c r="D138" i="35"/>
  <c r="C138" i="35"/>
  <c r="F135" i="35"/>
  <c r="E135" i="35"/>
  <c r="D135" i="35"/>
  <c r="C135" i="35"/>
  <c r="F134" i="35"/>
  <c r="E134" i="35"/>
  <c r="D134" i="35"/>
  <c r="C134" i="35"/>
  <c r="F133" i="35"/>
  <c r="E133" i="35"/>
  <c r="D133" i="35"/>
  <c r="C133" i="35"/>
  <c r="F132" i="35"/>
  <c r="E132" i="35"/>
  <c r="D132" i="35"/>
  <c r="C132" i="35"/>
  <c r="F130" i="35"/>
  <c r="E130" i="35"/>
  <c r="D130" i="35"/>
  <c r="C130" i="35"/>
  <c r="F126" i="35"/>
  <c r="E126" i="35"/>
  <c r="D126" i="35"/>
  <c r="C126" i="35"/>
  <c r="M41" i="35"/>
  <c r="L41" i="35"/>
  <c r="K41" i="35"/>
  <c r="J41" i="35"/>
  <c r="I41" i="35"/>
  <c r="H41" i="35"/>
  <c r="G41" i="35"/>
  <c r="F41" i="35"/>
  <c r="E41" i="35"/>
  <c r="D41" i="35"/>
  <c r="M40" i="35"/>
  <c r="L40" i="35"/>
  <c r="K40" i="35"/>
  <c r="J40" i="35"/>
  <c r="I40" i="35"/>
  <c r="H40" i="35"/>
  <c r="G40" i="35"/>
  <c r="F40" i="35"/>
  <c r="E40" i="35"/>
  <c r="D40" i="35"/>
  <c r="M39" i="35"/>
  <c r="L39" i="35"/>
  <c r="K39" i="35"/>
  <c r="J39" i="35"/>
  <c r="I39" i="35"/>
  <c r="H39" i="35"/>
  <c r="G39" i="35"/>
  <c r="F39" i="35"/>
  <c r="E39" i="35"/>
  <c r="D39" i="35"/>
  <c r="M38" i="35"/>
  <c r="L38" i="35"/>
  <c r="K38" i="35"/>
  <c r="J38" i="35"/>
  <c r="I38" i="35"/>
  <c r="H38" i="35"/>
  <c r="G38" i="35"/>
  <c r="F38" i="35"/>
  <c r="E38" i="35"/>
  <c r="D38" i="35"/>
  <c r="M37" i="35"/>
  <c r="L37" i="35"/>
  <c r="K37" i="35"/>
  <c r="J37" i="35"/>
  <c r="P37" i="35" s="1"/>
  <c r="I37" i="35"/>
  <c r="H37" i="35"/>
  <c r="G37" i="35"/>
  <c r="F37" i="35"/>
  <c r="E37" i="35"/>
  <c r="D37" i="35"/>
  <c r="O37" i="35" s="1"/>
  <c r="M36" i="35"/>
  <c r="L36" i="35"/>
  <c r="K36" i="35"/>
  <c r="J36" i="35"/>
  <c r="I36" i="35"/>
  <c r="H36" i="35"/>
  <c r="G36" i="35"/>
  <c r="F36" i="35"/>
  <c r="E36" i="35"/>
  <c r="D36" i="35"/>
  <c r="M35" i="35"/>
  <c r="L35" i="35"/>
  <c r="K35" i="35"/>
  <c r="J35" i="35"/>
  <c r="P35" i="35" s="1"/>
  <c r="I35" i="35"/>
  <c r="H35" i="35"/>
  <c r="G35" i="35"/>
  <c r="F35" i="35"/>
  <c r="E35" i="35"/>
  <c r="D35" i="35"/>
  <c r="O35" i="35" s="1"/>
  <c r="M34" i="35"/>
  <c r="L34" i="35"/>
  <c r="K34" i="35"/>
  <c r="J34" i="35"/>
  <c r="P34" i="35" s="1"/>
  <c r="I34" i="35"/>
  <c r="H34" i="35"/>
  <c r="G34" i="35"/>
  <c r="F34" i="35"/>
  <c r="E34" i="35"/>
  <c r="D34" i="35"/>
  <c r="M33" i="35"/>
  <c r="L33" i="35"/>
  <c r="K33" i="35"/>
  <c r="J33" i="35"/>
  <c r="P33" i="35" s="1"/>
  <c r="I33" i="35"/>
  <c r="H33" i="35"/>
  <c r="G33" i="35"/>
  <c r="F33" i="35"/>
  <c r="E33" i="35"/>
  <c r="D33" i="35"/>
  <c r="O33" i="35" s="1"/>
  <c r="M32" i="35"/>
  <c r="L32" i="35"/>
  <c r="K32" i="35"/>
  <c r="J32" i="35"/>
  <c r="P32" i="35" s="1"/>
  <c r="I32" i="35"/>
  <c r="H32" i="35"/>
  <c r="G32" i="35"/>
  <c r="F32" i="35"/>
  <c r="E32" i="35"/>
  <c r="D32" i="35"/>
  <c r="M31" i="35"/>
  <c r="L31" i="35"/>
  <c r="K31" i="35"/>
  <c r="J31" i="35"/>
  <c r="P31" i="35" s="1"/>
  <c r="I31" i="35"/>
  <c r="H31" i="35"/>
  <c r="G31" i="35"/>
  <c r="F31" i="35"/>
  <c r="E31" i="35"/>
  <c r="D31" i="35"/>
  <c r="M30" i="35"/>
  <c r="L30" i="35"/>
  <c r="K30" i="35"/>
  <c r="J30" i="35"/>
  <c r="P30" i="35" s="1"/>
  <c r="I30" i="35"/>
  <c r="H30" i="35"/>
  <c r="G30" i="35"/>
  <c r="F30" i="35"/>
  <c r="E30" i="35"/>
  <c r="D30" i="35"/>
  <c r="M29" i="35"/>
  <c r="L29" i="35"/>
  <c r="K29" i="35"/>
  <c r="J29" i="35"/>
  <c r="P29" i="35" s="1"/>
  <c r="I29" i="35"/>
  <c r="H29" i="35"/>
  <c r="G29" i="35"/>
  <c r="F29" i="35"/>
  <c r="E29" i="35"/>
  <c r="D29" i="35"/>
  <c r="O29" i="35" s="1"/>
  <c r="M28" i="35"/>
  <c r="L28" i="35"/>
  <c r="K28" i="35"/>
  <c r="J28" i="35"/>
  <c r="P28" i="35" s="1"/>
  <c r="I28" i="35"/>
  <c r="H28" i="35"/>
  <c r="G28" i="35"/>
  <c r="F28" i="35"/>
  <c r="E28" i="35"/>
  <c r="D28" i="35"/>
  <c r="M27" i="35"/>
  <c r="L27" i="35"/>
  <c r="K27" i="35"/>
  <c r="J27" i="35"/>
  <c r="P27" i="35" s="1"/>
  <c r="I27" i="35"/>
  <c r="H27" i="35"/>
  <c r="G27" i="35"/>
  <c r="F27" i="35"/>
  <c r="E27" i="35"/>
  <c r="D27" i="35"/>
  <c r="O27" i="35" s="1"/>
  <c r="M26" i="35"/>
  <c r="L26" i="35"/>
  <c r="K26" i="35"/>
  <c r="J26" i="35"/>
  <c r="I26" i="35"/>
  <c r="H26" i="35"/>
  <c r="G26" i="35"/>
  <c r="F26" i="35"/>
  <c r="E26" i="35"/>
  <c r="D26" i="35"/>
  <c r="M25" i="35"/>
  <c r="L25" i="35"/>
  <c r="K25" i="35"/>
  <c r="J25" i="35"/>
  <c r="I25" i="35"/>
  <c r="H25" i="35"/>
  <c r="G25" i="35"/>
  <c r="F25" i="35"/>
  <c r="E25" i="35"/>
  <c r="D25" i="35"/>
  <c r="M24" i="35"/>
  <c r="L24" i="35"/>
  <c r="K24" i="35"/>
  <c r="J24" i="35"/>
  <c r="P24" i="35" s="1"/>
  <c r="I24" i="35"/>
  <c r="H24" i="35"/>
  <c r="G24" i="35"/>
  <c r="F24" i="35"/>
  <c r="E24" i="35"/>
  <c r="D24" i="35"/>
  <c r="M23" i="35"/>
  <c r="L23" i="35"/>
  <c r="K23" i="35"/>
  <c r="J23" i="35"/>
  <c r="P23" i="35" s="1"/>
  <c r="I23" i="35"/>
  <c r="H23" i="35"/>
  <c r="G23" i="35"/>
  <c r="F23" i="35"/>
  <c r="E23" i="35"/>
  <c r="D23" i="35"/>
  <c r="O23" i="35" s="1"/>
  <c r="M22" i="35"/>
  <c r="L22" i="35"/>
  <c r="K22" i="35"/>
  <c r="J22" i="35"/>
  <c r="P22" i="35" s="1"/>
  <c r="I22" i="35"/>
  <c r="H22" i="35"/>
  <c r="G22" i="35"/>
  <c r="F22" i="35"/>
  <c r="E22" i="35"/>
  <c r="D22" i="35"/>
  <c r="M20" i="35"/>
  <c r="L20" i="35"/>
  <c r="K20" i="35"/>
  <c r="J20" i="35"/>
  <c r="P20" i="35" s="1"/>
  <c r="I20" i="35"/>
  <c r="H20" i="35"/>
  <c r="G20" i="35"/>
  <c r="F20" i="35"/>
  <c r="E20" i="35"/>
  <c r="D20" i="35"/>
  <c r="M16" i="35"/>
  <c r="L16" i="35"/>
  <c r="K16" i="35"/>
  <c r="J16" i="35"/>
  <c r="P16" i="35" s="1"/>
  <c r="I16" i="35"/>
  <c r="H16" i="35"/>
  <c r="G16" i="35"/>
  <c r="F16" i="35"/>
  <c r="E16" i="35"/>
  <c r="D16" i="35"/>
  <c r="O16" i="35" s="1"/>
  <c r="M8" i="35"/>
  <c r="L8" i="35"/>
  <c r="K8" i="35"/>
  <c r="J8" i="35"/>
  <c r="P8" i="35" s="1"/>
  <c r="I8" i="35"/>
  <c r="H8" i="35"/>
  <c r="G8" i="35"/>
  <c r="F8" i="35"/>
  <c r="E8" i="35"/>
  <c r="D8" i="35"/>
  <c r="O8" i="35" s="1"/>
  <c r="M141" i="35"/>
  <c r="L141" i="35"/>
  <c r="N138" i="35"/>
  <c r="M138" i="35"/>
  <c r="L138" i="35"/>
  <c r="B114" i="35"/>
  <c r="S89" i="35" s="1"/>
  <c r="F114" i="35" s="1"/>
  <c r="B152" i="35" s="1"/>
  <c r="A76" i="35"/>
  <c r="P41" i="35"/>
  <c r="O41" i="35"/>
  <c r="P40" i="35"/>
  <c r="O40" i="35"/>
  <c r="P39" i="35"/>
  <c r="O39" i="35"/>
  <c r="P38" i="35"/>
  <c r="O38" i="35"/>
  <c r="K48" i="35"/>
  <c r="A49" i="35"/>
  <c r="P21" i="35"/>
  <c r="O21" i="35"/>
  <c r="A48" i="35"/>
  <c r="P19" i="35"/>
  <c r="O19" i="35"/>
  <c r="O18" i="35"/>
  <c r="O17" i="35"/>
  <c r="P17" i="35"/>
  <c r="P15" i="35"/>
  <c r="O15" i="35"/>
  <c r="O14" i="35"/>
  <c r="O13" i="35"/>
  <c r="P13" i="35"/>
  <c r="O12" i="35"/>
  <c r="P12" i="35"/>
  <c r="P11" i="35"/>
  <c r="O11" i="35"/>
  <c r="O10" i="35"/>
  <c r="O9" i="35"/>
  <c r="P9" i="35"/>
  <c r="P7" i="35"/>
  <c r="O7" i="35"/>
  <c r="O6" i="35"/>
  <c r="O5" i="35"/>
  <c r="P5" i="35"/>
  <c r="O4" i="35"/>
  <c r="P4" i="35"/>
  <c r="P3" i="35"/>
  <c r="O3" i="35"/>
  <c r="O2" i="35"/>
  <c r="P2" i="35"/>
  <c r="P42" i="35"/>
  <c r="P89" i="35" s="1"/>
  <c r="P152" i="35" s="1"/>
  <c r="F76" i="35"/>
  <c r="F142" i="34"/>
  <c r="E142" i="34"/>
  <c r="N141" i="34" s="1"/>
  <c r="D142" i="34"/>
  <c r="C142" i="34"/>
  <c r="F141" i="34"/>
  <c r="E141" i="34"/>
  <c r="N140" i="34" s="1"/>
  <c r="D141" i="34"/>
  <c r="M140" i="34" s="1"/>
  <c r="C141" i="34"/>
  <c r="L140" i="34" s="1"/>
  <c r="F140" i="34"/>
  <c r="E140" i="34"/>
  <c r="N139" i="34" s="1"/>
  <c r="D140" i="34"/>
  <c r="M139" i="34" s="1"/>
  <c r="C140" i="34"/>
  <c r="L139" i="34" s="1"/>
  <c r="F139" i="34"/>
  <c r="E139" i="34"/>
  <c r="D139" i="34"/>
  <c r="C139" i="34"/>
  <c r="F138" i="34"/>
  <c r="E138" i="34"/>
  <c r="D138" i="34"/>
  <c r="C138" i="34"/>
  <c r="F135" i="34"/>
  <c r="E135" i="34"/>
  <c r="D135" i="34"/>
  <c r="C135" i="34"/>
  <c r="F134" i="34"/>
  <c r="E134" i="34"/>
  <c r="D134" i="34"/>
  <c r="C134" i="34"/>
  <c r="F133" i="34"/>
  <c r="E133" i="34"/>
  <c r="D133" i="34"/>
  <c r="C133" i="34"/>
  <c r="F132" i="34"/>
  <c r="E132" i="34"/>
  <c r="D132" i="34"/>
  <c r="C132" i="34"/>
  <c r="F130" i="34"/>
  <c r="E130" i="34"/>
  <c r="D130" i="34"/>
  <c r="C130" i="34"/>
  <c r="F126" i="34"/>
  <c r="E126" i="34"/>
  <c r="D126" i="34"/>
  <c r="C126" i="34"/>
  <c r="M41" i="34"/>
  <c r="L41" i="34"/>
  <c r="K41" i="34"/>
  <c r="J41" i="34"/>
  <c r="I41" i="34"/>
  <c r="H41" i="34"/>
  <c r="G41" i="34"/>
  <c r="F41" i="34"/>
  <c r="E41" i="34"/>
  <c r="D41" i="34"/>
  <c r="M40" i="34"/>
  <c r="L40" i="34"/>
  <c r="K40" i="34"/>
  <c r="J40" i="34"/>
  <c r="I40" i="34"/>
  <c r="H40" i="34"/>
  <c r="G40" i="34"/>
  <c r="F40" i="34"/>
  <c r="E40" i="34"/>
  <c r="D40" i="34"/>
  <c r="M39" i="34"/>
  <c r="L39" i="34"/>
  <c r="K39" i="34"/>
  <c r="J39" i="34"/>
  <c r="I39" i="34"/>
  <c r="H39" i="34"/>
  <c r="G39" i="34"/>
  <c r="F39" i="34"/>
  <c r="E39" i="34"/>
  <c r="D39" i="34"/>
  <c r="M38" i="34"/>
  <c r="L38" i="34"/>
  <c r="K38" i="34"/>
  <c r="J38" i="34"/>
  <c r="I38" i="34"/>
  <c r="H38" i="34"/>
  <c r="G38" i="34"/>
  <c r="F38" i="34"/>
  <c r="E38" i="34"/>
  <c r="D38" i="34"/>
  <c r="M37" i="34"/>
  <c r="L37" i="34"/>
  <c r="K37" i="34"/>
  <c r="J37" i="34"/>
  <c r="P37" i="34" s="1"/>
  <c r="I37" i="34"/>
  <c r="H37" i="34"/>
  <c r="G37" i="34"/>
  <c r="F37" i="34"/>
  <c r="E37" i="34"/>
  <c r="D37" i="34"/>
  <c r="O37" i="34" s="1"/>
  <c r="M36" i="34"/>
  <c r="L36" i="34"/>
  <c r="K36" i="34"/>
  <c r="J36" i="34"/>
  <c r="P36" i="34" s="1"/>
  <c r="I36" i="34"/>
  <c r="H36" i="34"/>
  <c r="G36" i="34"/>
  <c r="F36" i="34"/>
  <c r="E36" i="34"/>
  <c r="D36" i="34"/>
  <c r="M35" i="34"/>
  <c r="L35" i="34"/>
  <c r="K35" i="34"/>
  <c r="J35" i="34"/>
  <c r="P35" i="34" s="1"/>
  <c r="I35" i="34"/>
  <c r="H35" i="34"/>
  <c r="G35" i="34"/>
  <c r="F35" i="34"/>
  <c r="E35" i="34"/>
  <c r="D35" i="34"/>
  <c r="O35" i="34" s="1"/>
  <c r="M34" i="34"/>
  <c r="L34" i="34"/>
  <c r="K34" i="34"/>
  <c r="J34" i="34"/>
  <c r="P34" i="34" s="1"/>
  <c r="I34" i="34"/>
  <c r="H34" i="34"/>
  <c r="G34" i="34"/>
  <c r="F34" i="34"/>
  <c r="E34" i="34"/>
  <c r="D34" i="34"/>
  <c r="M33" i="34"/>
  <c r="L33" i="34"/>
  <c r="K33" i="34"/>
  <c r="J33" i="34"/>
  <c r="P33" i="34" s="1"/>
  <c r="I33" i="34"/>
  <c r="H33" i="34"/>
  <c r="G33" i="34"/>
  <c r="F33" i="34"/>
  <c r="E33" i="34"/>
  <c r="D33" i="34"/>
  <c r="O33" i="34" s="1"/>
  <c r="M32" i="34"/>
  <c r="L32" i="34"/>
  <c r="K32" i="34"/>
  <c r="J32" i="34"/>
  <c r="P32" i="34" s="1"/>
  <c r="I32" i="34"/>
  <c r="H32" i="34"/>
  <c r="G32" i="34"/>
  <c r="F32" i="34"/>
  <c r="E32" i="34"/>
  <c r="D32" i="34"/>
  <c r="M31" i="34"/>
  <c r="L31" i="34"/>
  <c r="K31" i="34"/>
  <c r="J31" i="34"/>
  <c r="P31" i="34" s="1"/>
  <c r="I31" i="34"/>
  <c r="H31" i="34"/>
  <c r="G31" i="34"/>
  <c r="F31" i="34"/>
  <c r="E31" i="34"/>
  <c r="D31" i="34"/>
  <c r="M30" i="34"/>
  <c r="L30" i="34"/>
  <c r="K30" i="34"/>
  <c r="J30" i="34"/>
  <c r="P30" i="34" s="1"/>
  <c r="I30" i="34"/>
  <c r="H30" i="34"/>
  <c r="G30" i="34"/>
  <c r="F30" i="34"/>
  <c r="E30" i="34"/>
  <c r="D30" i="34"/>
  <c r="M29" i="34"/>
  <c r="L29" i="34"/>
  <c r="K29" i="34"/>
  <c r="J29" i="34"/>
  <c r="P29" i="34" s="1"/>
  <c r="I29" i="34"/>
  <c r="H29" i="34"/>
  <c r="G29" i="34"/>
  <c r="F29" i="34"/>
  <c r="E29" i="34"/>
  <c r="D29" i="34"/>
  <c r="O29" i="34" s="1"/>
  <c r="M28" i="34"/>
  <c r="L28" i="34"/>
  <c r="K28" i="34"/>
  <c r="J28" i="34"/>
  <c r="P28" i="34" s="1"/>
  <c r="I28" i="34"/>
  <c r="H28" i="34"/>
  <c r="G28" i="34"/>
  <c r="F28" i="34"/>
  <c r="E28" i="34"/>
  <c r="D28" i="34"/>
  <c r="M27" i="34"/>
  <c r="L27" i="34"/>
  <c r="K27" i="34"/>
  <c r="J27" i="34"/>
  <c r="P27" i="34" s="1"/>
  <c r="I27" i="34"/>
  <c r="H27" i="34"/>
  <c r="G27" i="34"/>
  <c r="F27" i="34"/>
  <c r="E27" i="34"/>
  <c r="D27" i="34"/>
  <c r="O27" i="34" s="1"/>
  <c r="M26" i="34"/>
  <c r="L26" i="34"/>
  <c r="K26" i="34"/>
  <c r="J26" i="34"/>
  <c r="I26" i="34"/>
  <c r="H26" i="34"/>
  <c r="G26" i="34"/>
  <c r="F26" i="34"/>
  <c r="E26" i="34"/>
  <c r="D26" i="34"/>
  <c r="M25" i="34"/>
  <c r="L25" i="34"/>
  <c r="K25" i="34"/>
  <c r="J25" i="34"/>
  <c r="I25" i="34"/>
  <c r="H25" i="34"/>
  <c r="G25" i="34"/>
  <c r="F25" i="34"/>
  <c r="E25" i="34"/>
  <c r="D25" i="34"/>
  <c r="M24" i="34"/>
  <c r="L24" i="34"/>
  <c r="K24" i="34"/>
  <c r="J24" i="34"/>
  <c r="P24" i="34" s="1"/>
  <c r="I24" i="34"/>
  <c r="H24" i="34"/>
  <c r="G24" i="34"/>
  <c r="F24" i="34"/>
  <c r="E24" i="34"/>
  <c r="D24" i="34"/>
  <c r="M23" i="34"/>
  <c r="L23" i="34"/>
  <c r="K23" i="34"/>
  <c r="J23" i="34"/>
  <c r="P23" i="34" s="1"/>
  <c r="I23" i="34"/>
  <c r="H23" i="34"/>
  <c r="G23" i="34"/>
  <c r="F23" i="34"/>
  <c r="E23" i="34"/>
  <c r="D23" i="34"/>
  <c r="O23" i="34" s="1"/>
  <c r="M22" i="34"/>
  <c r="L22" i="34"/>
  <c r="K22" i="34"/>
  <c r="J22" i="34"/>
  <c r="P22" i="34" s="1"/>
  <c r="I22" i="34"/>
  <c r="H22" i="34"/>
  <c r="G22" i="34"/>
  <c r="F22" i="34"/>
  <c r="E22" i="34"/>
  <c r="D22" i="34"/>
  <c r="M20" i="34"/>
  <c r="L20" i="34"/>
  <c r="K20" i="34"/>
  <c r="J20" i="34"/>
  <c r="P20" i="34" s="1"/>
  <c r="I20" i="34"/>
  <c r="H20" i="34"/>
  <c r="G20" i="34"/>
  <c r="F20" i="34"/>
  <c r="E20" i="34"/>
  <c r="D20" i="34"/>
  <c r="M16" i="34"/>
  <c r="L16" i="34"/>
  <c r="K16" i="34"/>
  <c r="J16" i="34"/>
  <c r="P16" i="34" s="1"/>
  <c r="I16" i="34"/>
  <c r="H16" i="34"/>
  <c r="G16" i="34"/>
  <c r="F16" i="34"/>
  <c r="E16" i="34"/>
  <c r="D16" i="34"/>
  <c r="O16" i="34" s="1"/>
  <c r="M8" i="34"/>
  <c r="L8" i="34"/>
  <c r="K8" i="34"/>
  <c r="J8" i="34"/>
  <c r="P8" i="34" s="1"/>
  <c r="I8" i="34"/>
  <c r="H8" i="34"/>
  <c r="G8" i="34"/>
  <c r="F8" i="34"/>
  <c r="E8" i="34"/>
  <c r="D8" i="34"/>
  <c r="O8" i="34" s="1"/>
  <c r="M141" i="34"/>
  <c r="L141" i="34"/>
  <c r="N138" i="34"/>
  <c r="M138" i="34"/>
  <c r="L138" i="34"/>
  <c r="B114" i="34"/>
  <c r="S89" i="34" s="1"/>
  <c r="F114" i="34" s="1"/>
  <c r="B152" i="34" s="1"/>
  <c r="A76" i="34"/>
  <c r="P41" i="34"/>
  <c r="O41" i="34"/>
  <c r="P40" i="34"/>
  <c r="O40" i="34"/>
  <c r="P39" i="34"/>
  <c r="O39" i="34"/>
  <c r="P38" i="34"/>
  <c r="O38" i="34"/>
  <c r="K48" i="34"/>
  <c r="A49" i="34"/>
  <c r="P21" i="34"/>
  <c r="O21" i="34"/>
  <c r="A48" i="34"/>
  <c r="P19" i="34"/>
  <c r="O19" i="34"/>
  <c r="O18" i="34"/>
  <c r="P17" i="34"/>
  <c r="O17" i="34"/>
  <c r="P15" i="34"/>
  <c r="O15" i="34"/>
  <c r="O14" i="34"/>
  <c r="P13" i="34"/>
  <c r="O13" i="34"/>
  <c r="O12" i="34"/>
  <c r="P12" i="34"/>
  <c r="P11" i="34"/>
  <c r="O11" i="34"/>
  <c r="O10" i="34"/>
  <c r="P9" i="34"/>
  <c r="O9" i="34"/>
  <c r="P7" i="34"/>
  <c r="O7" i="34"/>
  <c r="O6" i="34"/>
  <c r="P5" i="34"/>
  <c r="O5" i="34"/>
  <c r="O4" i="34"/>
  <c r="P4" i="34"/>
  <c r="P3" i="34"/>
  <c r="O3" i="34"/>
  <c r="P2" i="34"/>
  <c r="O2" i="34"/>
  <c r="P42" i="34"/>
  <c r="P89" i="34" s="1"/>
  <c r="P152" i="34" s="1"/>
  <c r="F76" i="34"/>
  <c r="F142" i="33"/>
  <c r="E142" i="33"/>
  <c r="N141" i="33" s="1"/>
  <c r="D142" i="33"/>
  <c r="C142" i="33"/>
  <c r="F141" i="33"/>
  <c r="E141" i="33"/>
  <c r="N140" i="33" s="1"/>
  <c r="D141" i="33"/>
  <c r="M140" i="33" s="1"/>
  <c r="C141" i="33"/>
  <c r="L140" i="33" s="1"/>
  <c r="F140" i="33"/>
  <c r="E140" i="33"/>
  <c r="N139" i="33" s="1"/>
  <c r="D140" i="33"/>
  <c r="M139" i="33" s="1"/>
  <c r="C140" i="33"/>
  <c r="L139" i="33" s="1"/>
  <c r="F139" i="33"/>
  <c r="E139" i="33"/>
  <c r="D139" i="33"/>
  <c r="C139" i="33"/>
  <c r="F138" i="33"/>
  <c r="E138" i="33"/>
  <c r="D138" i="33"/>
  <c r="C138" i="33"/>
  <c r="F135" i="33"/>
  <c r="E135" i="33"/>
  <c r="D135" i="33"/>
  <c r="C135" i="33"/>
  <c r="F134" i="33"/>
  <c r="E134" i="33"/>
  <c r="D134" i="33"/>
  <c r="C134" i="33"/>
  <c r="F133" i="33"/>
  <c r="E133" i="33"/>
  <c r="D133" i="33"/>
  <c r="C133" i="33"/>
  <c r="F132" i="33"/>
  <c r="E132" i="33"/>
  <c r="D132" i="33"/>
  <c r="C132" i="33"/>
  <c r="F130" i="33"/>
  <c r="E130" i="33"/>
  <c r="D130" i="33"/>
  <c r="C130" i="33"/>
  <c r="F126" i="33"/>
  <c r="E126" i="33"/>
  <c r="D126" i="33"/>
  <c r="C126" i="33"/>
  <c r="M41" i="33"/>
  <c r="L41" i="33"/>
  <c r="K41" i="33"/>
  <c r="J41" i="33"/>
  <c r="I41" i="33"/>
  <c r="H41" i="33"/>
  <c r="G41" i="33"/>
  <c r="F41" i="33"/>
  <c r="E41" i="33"/>
  <c r="D41" i="33"/>
  <c r="M40" i="33"/>
  <c r="L40" i="33"/>
  <c r="K40" i="33"/>
  <c r="J40" i="33"/>
  <c r="I40" i="33"/>
  <c r="H40" i="33"/>
  <c r="G40" i="33"/>
  <c r="F40" i="33"/>
  <c r="E40" i="33"/>
  <c r="D40" i="33"/>
  <c r="M39" i="33"/>
  <c r="L39" i="33"/>
  <c r="K39" i="33"/>
  <c r="J39" i="33"/>
  <c r="I39" i="33"/>
  <c r="H39" i="33"/>
  <c r="G39" i="33"/>
  <c r="F39" i="33"/>
  <c r="E39" i="33"/>
  <c r="D39" i="33"/>
  <c r="M38" i="33"/>
  <c r="L38" i="33"/>
  <c r="K38" i="33"/>
  <c r="J38" i="33"/>
  <c r="I38" i="33"/>
  <c r="H38" i="33"/>
  <c r="G38" i="33"/>
  <c r="F38" i="33"/>
  <c r="E38" i="33"/>
  <c r="D38" i="33"/>
  <c r="M37" i="33"/>
  <c r="L37" i="33"/>
  <c r="K37" i="33"/>
  <c r="J37" i="33"/>
  <c r="P37" i="33" s="1"/>
  <c r="I37" i="33"/>
  <c r="H37" i="33"/>
  <c r="G37" i="33"/>
  <c r="F37" i="33"/>
  <c r="E37" i="33"/>
  <c r="D37" i="33"/>
  <c r="M36" i="33"/>
  <c r="L36" i="33"/>
  <c r="K36" i="33"/>
  <c r="J36" i="33"/>
  <c r="I36" i="33"/>
  <c r="H36" i="33"/>
  <c r="G36" i="33"/>
  <c r="F36" i="33"/>
  <c r="E36" i="33"/>
  <c r="D36" i="33"/>
  <c r="M35" i="33"/>
  <c r="L35" i="33"/>
  <c r="K35" i="33"/>
  <c r="J35" i="33"/>
  <c r="P35" i="33" s="1"/>
  <c r="I35" i="33"/>
  <c r="H35" i="33"/>
  <c r="G35" i="33"/>
  <c r="F35" i="33"/>
  <c r="E35" i="33"/>
  <c r="D35" i="33"/>
  <c r="M34" i="33"/>
  <c r="L34" i="33"/>
  <c r="K34" i="33"/>
  <c r="J34" i="33"/>
  <c r="P34" i="33" s="1"/>
  <c r="I34" i="33"/>
  <c r="H34" i="33"/>
  <c r="G34" i="33"/>
  <c r="F34" i="33"/>
  <c r="E34" i="33"/>
  <c r="D34" i="33"/>
  <c r="O34" i="33" s="1"/>
  <c r="M33" i="33"/>
  <c r="L33" i="33"/>
  <c r="K33" i="33"/>
  <c r="J33" i="33"/>
  <c r="P33" i="33" s="1"/>
  <c r="I33" i="33"/>
  <c r="H33" i="33"/>
  <c r="G33" i="33"/>
  <c r="F33" i="33"/>
  <c r="E33" i="33"/>
  <c r="D33" i="33"/>
  <c r="M32" i="33"/>
  <c r="L32" i="33"/>
  <c r="K32" i="33"/>
  <c r="J32" i="33"/>
  <c r="P32" i="33" s="1"/>
  <c r="I32" i="33"/>
  <c r="H32" i="33"/>
  <c r="G32" i="33"/>
  <c r="F32" i="33"/>
  <c r="E32" i="33"/>
  <c r="D32" i="33"/>
  <c r="O32" i="33" s="1"/>
  <c r="M31" i="33"/>
  <c r="L31" i="33"/>
  <c r="K31" i="33"/>
  <c r="J31" i="33"/>
  <c r="P31" i="33" s="1"/>
  <c r="I31" i="33"/>
  <c r="H31" i="33"/>
  <c r="G31" i="33"/>
  <c r="F31" i="33"/>
  <c r="E31" i="33"/>
  <c r="D31" i="33"/>
  <c r="M30" i="33"/>
  <c r="L30" i="33"/>
  <c r="K30" i="33"/>
  <c r="J30" i="33"/>
  <c r="P30" i="33" s="1"/>
  <c r="I30" i="33"/>
  <c r="H30" i="33"/>
  <c r="G30" i="33"/>
  <c r="F30" i="33"/>
  <c r="E30" i="33"/>
  <c r="D30" i="33"/>
  <c r="O30" i="33" s="1"/>
  <c r="M29" i="33"/>
  <c r="L29" i="33"/>
  <c r="K29" i="33"/>
  <c r="J29" i="33"/>
  <c r="P29" i="33" s="1"/>
  <c r="I29" i="33"/>
  <c r="H29" i="33"/>
  <c r="G29" i="33"/>
  <c r="F29" i="33"/>
  <c r="E29" i="33"/>
  <c r="D29" i="33"/>
  <c r="M28" i="33"/>
  <c r="L28" i="33"/>
  <c r="K28" i="33"/>
  <c r="J28" i="33"/>
  <c r="P28" i="33" s="1"/>
  <c r="I28" i="33"/>
  <c r="H28" i="33"/>
  <c r="G28" i="33"/>
  <c r="F28" i="33"/>
  <c r="E28" i="33"/>
  <c r="D28" i="33"/>
  <c r="O28" i="33" s="1"/>
  <c r="M27" i="33"/>
  <c r="L27" i="33"/>
  <c r="K27" i="33"/>
  <c r="J27" i="33"/>
  <c r="I27" i="33"/>
  <c r="H27" i="33"/>
  <c r="G27" i="33"/>
  <c r="F27" i="33"/>
  <c r="E27" i="33"/>
  <c r="D27" i="33"/>
  <c r="M26" i="33"/>
  <c r="L26" i="33"/>
  <c r="K26" i="33"/>
  <c r="J26" i="33"/>
  <c r="I26" i="33"/>
  <c r="H26" i="33"/>
  <c r="G26" i="33"/>
  <c r="F26" i="33"/>
  <c r="E26" i="33"/>
  <c r="D26" i="33"/>
  <c r="M25" i="33"/>
  <c r="L25" i="33"/>
  <c r="K25" i="33"/>
  <c r="J25" i="33"/>
  <c r="I25" i="33"/>
  <c r="H25" i="33"/>
  <c r="G25" i="33"/>
  <c r="F25" i="33"/>
  <c r="E25" i="33"/>
  <c r="D25" i="33"/>
  <c r="M24" i="33"/>
  <c r="L24" i="33"/>
  <c r="K24" i="33"/>
  <c r="J24" i="33"/>
  <c r="P24" i="33" s="1"/>
  <c r="I24" i="33"/>
  <c r="H24" i="33"/>
  <c r="G24" i="33"/>
  <c r="F24" i="33"/>
  <c r="E24" i="33"/>
  <c r="D24" i="33"/>
  <c r="O24" i="33" s="1"/>
  <c r="M23" i="33"/>
  <c r="L23" i="33"/>
  <c r="K23" i="33"/>
  <c r="J23" i="33"/>
  <c r="P23" i="33" s="1"/>
  <c r="I23" i="33"/>
  <c r="H23" i="33"/>
  <c r="G23" i="33"/>
  <c r="F23" i="33"/>
  <c r="E23" i="33"/>
  <c r="D23" i="33"/>
  <c r="M22" i="33"/>
  <c r="L22" i="33"/>
  <c r="K22" i="33"/>
  <c r="J22" i="33"/>
  <c r="P22" i="33" s="1"/>
  <c r="I22" i="33"/>
  <c r="H22" i="33"/>
  <c r="G22" i="33"/>
  <c r="F22" i="33"/>
  <c r="E22" i="33"/>
  <c r="D22" i="33"/>
  <c r="O22" i="33" s="1"/>
  <c r="M20" i="33"/>
  <c r="L20" i="33"/>
  <c r="K20" i="33"/>
  <c r="J20" i="33"/>
  <c r="P20" i="33" s="1"/>
  <c r="I20" i="33"/>
  <c r="H20" i="33"/>
  <c r="G20" i="33"/>
  <c r="F20" i="33"/>
  <c r="E20" i="33"/>
  <c r="D20" i="33"/>
  <c r="O20" i="33" s="1"/>
  <c r="M16" i="33"/>
  <c r="L16" i="33"/>
  <c r="K16" i="33"/>
  <c r="J16" i="33"/>
  <c r="P16" i="33" s="1"/>
  <c r="I16" i="33"/>
  <c r="H16" i="33"/>
  <c r="G16" i="33"/>
  <c r="F16" i="33"/>
  <c r="E16" i="33"/>
  <c r="D16" i="33"/>
  <c r="O16" i="33" s="1"/>
  <c r="M8" i="33"/>
  <c r="L8" i="33"/>
  <c r="K8" i="33"/>
  <c r="J8" i="33"/>
  <c r="P8" i="33" s="1"/>
  <c r="I8" i="33"/>
  <c r="H8" i="33"/>
  <c r="G8" i="33"/>
  <c r="F8" i="33"/>
  <c r="E8" i="33"/>
  <c r="D8" i="33"/>
  <c r="O8" i="33" s="1"/>
  <c r="M141" i="33"/>
  <c r="L141" i="33"/>
  <c r="N138" i="33"/>
  <c r="M138" i="33"/>
  <c r="L138" i="33"/>
  <c r="B114" i="33"/>
  <c r="S89" i="33" s="1"/>
  <c r="F114" i="33" s="1"/>
  <c r="B152" i="33" s="1"/>
  <c r="F76" i="33"/>
  <c r="P41" i="33"/>
  <c r="O41" i="33"/>
  <c r="P40" i="33"/>
  <c r="O40" i="33"/>
  <c r="P39" i="33"/>
  <c r="O39" i="33"/>
  <c r="P38" i="33"/>
  <c r="O38" i="33"/>
  <c r="K48" i="33"/>
  <c r="B62" i="33"/>
  <c r="A49" i="33"/>
  <c r="P21" i="33"/>
  <c r="A48" i="33"/>
  <c r="P19" i="33"/>
  <c r="O19" i="33"/>
  <c r="O18" i="33"/>
  <c r="P17" i="33"/>
  <c r="O17" i="33"/>
  <c r="P15" i="33"/>
  <c r="O15" i="33"/>
  <c r="O14" i="33"/>
  <c r="P13" i="33"/>
  <c r="O13" i="33"/>
  <c r="O12" i="33"/>
  <c r="P12" i="33"/>
  <c r="P11" i="33"/>
  <c r="O11" i="33"/>
  <c r="O10" i="33"/>
  <c r="P9" i="33"/>
  <c r="O9" i="33"/>
  <c r="P7" i="33"/>
  <c r="O7" i="33"/>
  <c r="O6" i="33"/>
  <c r="P5" i="33"/>
  <c r="O5" i="33"/>
  <c r="O4" i="33"/>
  <c r="P4" i="33"/>
  <c r="P3" i="33"/>
  <c r="O3" i="33"/>
  <c r="P2" i="33"/>
  <c r="O2" i="33"/>
  <c r="P42" i="33"/>
  <c r="P89" i="33" s="1"/>
  <c r="P152" i="33" s="1"/>
  <c r="K62" i="33"/>
  <c r="F142" i="32"/>
  <c r="E142" i="32"/>
  <c r="N141" i="32" s="1"/>
  <c r="D142" i="32"/>
  <c r="M141" i="32" s="1"/>
  <c r="C142" i="32"/>
  <c r="L141" i="32" s="1"/>
  <c r="F141" i="32"/>
  <c r="E141" i="32"/>
  <c r="N140" i="32" s="1"/>
  <c r="D141" i="32"/>
  <c r="M140" i="32" s="1"/>
  <c r="C141" i="32"/>
  <c r="L140" i="32" s="1"/>
  <c r="F140" i="32"/>
  <c r="E140" i="32"/>
  <c r="N139" i="32" s="1"/>
  <c r="D140" i="32"/>
  <c r="M139" i="32" s="1"/>
  <c r="C140" i="32"/>
  <c r="L139" i="32" s="1"/>
  <c r="F139" i="32"/>
  <c r="E139" i="32"/>
  <c r="D139" i="32"/>
  <c r="C139" i="32"/>
  <c r="F138" i="32"/>
  <c r="E138" i="32"/>
  <c r="D138" i="32"/>
  <c r="C138" i="32"/>
  <c r="F135" i="32"/>
  <c r="E135" i="32"/>
  <c r="D135" i="32"/>
  <c r="C135" i="32"/>
  <c r="F134" i="32"/>
  <c r="E134" i="32"/>
  <c r="D134" i="32"/>
  <c r="C134" i="32"/>
  <c r="F133" i="32"/>
  <c r="E133" i="32"/>
  <c r="D133" i="32"/>
  <c r="C133" i="32"/>
  <c r="F132" i="32"/>
  <c r="E132" i="32"/>
  <c r="D132" i="32"/>
  <c r="C132" i="32"/>
  <c r="F130" i="32"/>
  <c r="E130" i="32"/>
  <c r="D130" i="32"/>
  <c r="C130" i="32"/>
  <c r="F126" i="32"/>
  <c r="E126" i="32"/>
  <c r="D126" i="32"/>
  <c r="C126" i="32"/>
  <c r="M41" i="32"/>
  <c r="L41" i="32"/>
  <c r="K41" i="32"/>
  <c r="J41" i="32"/>
  <c r="I41" i="32"/>
  <c r="H41" i="32"/>
  <c r="G41" i="32"/>
  <c r="F41" i="32"/>
  <c r="E41" i="32"/>
  <c r="D41" i="32"/>
  <c r="K40" i="32"/>
  <c r="J40" i="32"/>
  <c r="I40" i="32"/>
  <c r="H40" i="32"/>
  <c r="G40" i="32"/>
  <c r="F40" i="32"/>
  <c r="E40" i="32"/>
  <c r="D40" i="32"/>
  <c r="L39" i="32"/>
  <c r="K39" i="32"/>
  <c r="J39" i="32"/>
  <c r="I39" i="32"/>
  <c r="H39" i="32"/>
  <c r="G39" i="32"/>
  <c r="F39" i="32"/>
  <c r="E39" i="32"/>
  <c r="D39" i="32"/>
  <c r="M38" i="32"/>
  <c r="L38" i="32"/>
  <c r="K38" i="32"/>
  <c r="J38" i="32"/>
  <c r="I38" i="32"/>
  <c r="H38" i="32"/>
  <c r="G38" i="32"/>
  <c r="F38" i="32"/>
  <c r="E38" i="32"/>
  <c r="D38" i="32"/>
  <c r="M37" i="32"/>
  <c r="L37" i="32"/>
  <c r="K37" i="32"/>
  <c r="J37" i="32"/>
  <c r="P37" i="32" s="1"/>
  <c r="I37" i="32"/>
  <c r="H37" i="32"/>
  <c r="G37" i="32"/>
  <c r="F37" i="32"/>
  <c r="E37" i="32"/>
  <c r="D37" i="32"/>
  <c r="O37" i="32" s="1"/>
  <c r="M36" i="32"/>
  <c r="L36" i="32"/>
  <c r="K36" i="32"/>
  <c r="J36" i="32"/>
  <c r="I36" i="32"/>
  <c r="H36" i="32"/>
  <c r="G36" i="32"/>
  <c r="F36" i="32"/>
  <c r="E36" i="32"/>
  <c r="D36" i="32"/>
  <c r="M35" i="32"/>
  <c r="L35" i="32"/>
  <c r="K35" i="32"/>
  <c r="J35" i="32"/>
  <c r="P35" i="32" s="1"/>
  <c r="I35" i="32"/>
  <c r="H35" i="32"/>
  <c r="G35" i="32"/>
  <c r="F35" i="32"/>
  <c r="E35" i="32"/>
  <c r="D35" i="32"/>
  <c r="O35" i="32" s="1"/>
  <c r="M34" i="32"/>
  <c r="L34" i="32"/>
  <c r="K34" i="32"/>
  <c r="J34" i="32"/>
  <c r="P34" i="32" s="1"/>
  <c r="I34" i="32"/>
  <c r="H34" i="32"/>
  <c r="G34" i="32"/>
  <c r="F34" i="32"/>
  <c r="E34" i="32"/>
  <c r="D34" i="32"/>
  <c r="O34" i="32" s="1"/>
  <c r="M33" i="32"/>
  <c r="L33" i="32"/>
  <c r="K33" i="32"/>
  <c r="J33" i="32"/>
  <c r="P33" i="32" s="1"/>
  <c r="I33" i="32"/>
  <c r="H33" i="32"/>
  <c r="G33" i="32"/>
  <c r="F33" i="32"/>
  <c r="E33" i="32"/>
  <c r="D33" i="32"/>
  <c r="O33" i="32" s="1"/>
  <c r="M32" i="32"/>
  <c r="L32" i="32"/>
  <c r="K32" i="32"/>
  <c r="J32" i="32"/>
  <c r="P32" i="32" s="1"/>
  <c r="I32" i="32"/>
  <c r="H32" i="32"/>
  <c r="G32" i="32"/>
  <c r="F32" i="32"/>
  <c r="E32" i="32"/>
  <c r="D32" i="32"/>
  <c r="M31" i="32"/>
  <c r="L31" i="32"/>
  <c r="K31" i="32"/>
  <c r="J31" i="32"/>
  <c r="P31" i="32" s="1"/>
  <c r="I31" i="32"/>
  <c r="H31" i="32"/>
  <c r="G31" i="32"/>
  <c r="F31" i="32"/>
  <c r="E31" i="32"/>
  <c r="D31" i="32"/>
  <c r="O31" i="32" s="1"/>
  <c r="M30" i="32"/>
  <c r="L30" i="32"/>
  <c r="K30" i="32"/>
  <c r="J30" i="32"/>
  <c r="P30" i="32" s="1"/>
  <c r="I30" i="32"/>
  <c r="H30" i="32"/>
  <c r="G30" i="32"/>
  <c r="F30" i="32"/>
  <c r="E30" i="32"/>
  <c r="D30" i="32"/>
  <c r="O30" i="32" s="1"/>
  <c r="M29" i="32"/>
  <c r="L29" i="32"/>
  <c r="K29" i="32"/>
  <c r="J29" i="32"/>
  <c r="P29" i="32" s="1"/>
  <c r="I29" i="32"/>
  <c r="H29" i="32"/>
  <c r="G29" i="32"/>
  <c r="F29" i="32"/>
  <c r="E29" i="32"/>
  <c r="D29" i="32"/>
  <c r="O29" i="32" s="1"/>
  <c r="M28" i="32"/>
  <c r="L28" i="32"/>
  <c r="K28" i="32"/>
  <c r="J28" i="32"/>
  <c r="P28" i="32" s="1"/>
  <c r="I28" i="32"/>
  <c r="H28" i="32"/>
  <c r="G28" i="32"/>
  <c r="F28" i="32"/>
  <c r="E28" i="32"/>
  <c r="D28" i="32"/>
  <c r="M27" i="32"/>
  <c r="L27" i="32"/>
  <c r="K27" i="32"/>
  <c r="J27" i="32"/>
  <c r="P27" i="32" s="1"/>
  <c r="I27" i="32"/>
  <c r="H27" i="32"/>
  <c r="G27" i="32"/>
  <c r="F27" i="32"/>
  <c r="E27" i="32"/>
  <c r="D27" i="32"/>
  <c r="O27" i="32" s="1"/>
  <c r="M26" i="32"/>
  <c r="L26" i="32"/>
  <c r="K26" i="32"/>
  <c r="J26" i="32"/>
  <c r="I26" i="32"/>
  <c r="H26" i="32"/>
  <c r="G26" i="32"/>
  <c r="F26" i="32"/>
  <c r="E26" i="32"/>
  <c r="D26" i="32"/>
  <c r="M25" i="32"/>
  <c r="L25" i="32"/>
  <c r="K25" i="32"/>
  <c r="J25" i="32"/>
  <c r="I25" i="32"/>
  <c r="H25" i="32"/>
  <c r="G25" i="32"/>
  <c r="F25" i="32"/>
  <c r="E25" i="32"/>
  <c r="D25" i="32"/>
  <c r="M24" i="32"/>
  <c r="L24" i="32"/>
  <c r="K24" i="32"/>
  <c r="J24" i="32"/>
  <c r="P24" i="32" s="1"/>
  <c r="I24" i="32"/>
  <c r="H24" i="32"/>
  <c r="G24" i="32"/>
  <c r="F24" i="32"/>
  <c r="E24" i="32"/>
  <c r="D24" i="32"/>
  <c r="M23" i="32"/>
  <c r="L23" i="32"/>
  <c r="K23" i="32"/>
  <c r="J23" i="32"/>
  <c r="P23" i="32" s="1"/>
  <c r="I23" i="32"/>
  <c r="H23" i="32"/>
  <c r="G23" i="32"/>
  <c r="F23" i="32"/>
  <c r="E23" i="32"/>
  <c r="D23" i="32"/>
  <c r="O23" i="32" s="1"/>
  <c r="M22" i="32"/>
  <c r="L22" i="32"/>
  <c r="K22" i="32"/>
  <c r="J22" i="32"/>
  <c r="P22" i="32" s="1"/>
  <c r="I22" i="32"/>
  <c r="H22" i="32"/>
  <c r="G22" i="32"/>
  <c r="F22" i="32"/>
  <c r="E22" i="32"/>
  <c r="D22" i="32"/>
  <c r="O22" i="32" s="1"/>
  <c r="M20" i="32"/>
  <c r="L20" i="32"/>
  <c r="K20" i="32"/>
  <c r="J20" i="32"/>
  <c r="P20" i="32" s="1"/>
  <c r="I20" i="32"/>
  <c r="H20" i="32"/>
  <c r="G20" i="32"/>
  <c r="F20" i="32"/>
  <c r="E20" i="32"/>
  <c r="D20" i="32"/>
  <c r="M16" i="32"/>
  <c r="L16" i="32"/>
  <c r="K16" i="32"/>
  <c r="J16" i="32"/>
  <c r="P16" i="32" s="1"/>
  <c r="I16" i="32"/>
  <c r="H16" i="32"/>
  <c r="G16" i="32"/>
  <c r="F16" i="32"/>
  <c r="E16" i="32"/>
  <c r="D16" i="32"/>
  <c r="O16" i="32" s="1"/>
  <c r="M8" i="32"/>
  <c r="L8" i="32"/>
  <c r="K8" i="32"/>
  <c r="J8" i="32"/>
  <c r="P8" i="32" s="1"/>
  <c r="I8" i="32"/>
  <c r="H8" i="32"/>
  <c r="G8" i="32"/>
  <c r="F8" i="32"/>
  <c r="E8" i="32"/>
  <c r="D8" i="32"/>
  <c r="O8" i="32" s="1"/>
  <c r="N138" i="32"/>
  <c r="M138" i="32"/>
  <c r="L138" i="32"/>
  <c r="B114" i="32"/>
  <c r="S89" i="32" s="1"/>
  <c r="F114" i="32" s="1"/>
  <c r="B152" i="32" s="1"/>
  <c r="F76" i="32"/>
  <c r="A50" i="32"/>
  <c r="P41" i="32"/>
  <c r="O41" i="32"/>
  <c r="P40" i="32"/>
  <c r="O40" i="32"/>
  <c r="P39" i="32"/>
  <c r="O39" i="32"/>
  <c r="P38" i="32"/>
  <c r="O38" i="32"/>
  <c r="K48" i="32"/>
  <c r="B62" i="32"/>
  <c r="A49" i="32"/>
  <c r="P21" i="32"/>
  <c r="O21" i="32"/>
  <c r="A48" i="32"/>
  <c r="P19" i="32"/>
  <c r="P18" i="32"/>
  <c r="O18" i="32"/>
  <c r="P17" i="32"/>
  <c r="P15" i="32"/>
  <c r="P14" i="32"/>
  <c r="O14" i="32"/>
  <c r="P13" i="32"/>
  <c r="O12" i="32"/>
  <c r="P12" i="32"/>
  <c r="P11" i="32"/>
  <c r="P10" i="32"/>
  <c r="O10" i="32"/>
  <c r="P9" i="32"/>
  <c r="P7" i="32"/>
  <c r="P6" i="32"/>
  <c r="O6" i="32"/>
  <c r="P5" i="32"/>
  <c r="P4" i="32"/>
  <c r="O4" i="32"/>
  <c r="P2" i="32"/>
  <c r="O2" i="32"/>
  <c r="P42" i="32"/>
  <c r="P89" i="32" s="1"/>
  <c r="P152" i="32" s="1"/>
  <c r="K62" i="32"/>
  <c r="F142" i="31"/>
  <c r="E142" i="31"/>
  <c r="N141" i="31" s="1"/>
  <c r="D142" i="31"/>
  <c r="C142" i="31"/>
  <c r="F141" i="31"/>
  <c r="E141" i="31"/>
  <c r="N140" i="31" s="1"/>
  <c r="D141" i="31"/>
  <c r="M140" i="31" s="1"/>
  <c r="C141" i="31"/>
  <c r="L140" i="31" s="1"/>
  <c r="F140" i="31"/>
  <c r="E140" i="31"/>
  <c r="N139" i="31" s="1"/>
  <c r="D140" i="31"/>
  <c r="M139" i="31" s="1"/>
  <c r="C140" i="31"/>
  <c r="L139" i="31" s="1"/>
  <c r="F139" i="31"/>
  <c r="E139" i="31"/>
  <c r="D139" i="31"/>
  <c r="C139" i="31"/>
  <c r="F138" i="31"/>
  <c r="E138" i="31"/>
  <c r="D138" i="31"/>
  <c r="C138" i="31"/>
  <c r="F135" i="31"/>
  <c r="E135" i="31"/>
  <c r="D135" i="31"/>
  <c r="C135" i="31"/>
  <c r="F134" i="31"/>
  <c r="E134" i="31"/>
  <c r="D134" i="31"/>
  <c r="C134" i="31"/>
  <c r="F133" i="31"/>
  <c r="E133" i="31"/>
  <c r="D133" i="31"/>
  <c r="C133" i="31"/>
  <c r="F132" i="31"/>
  <c r="E132" i="31"/>
  <c r="D132" i="31"/>
  <c r="C132" i="31"/>
  <c r="F130" i="31"/>
  <c r="E130" i="31"/>
  <c r="D130" i="31"/>
  <c r="C130" i="31"/>
  <c r="F126" i="31"/>
  <c r="E126" i="31"/>
  <c r="D126" i="31"/>
  <c r="C126" i="31"/>
  <c r="M41" i="31"/>
  <c r="L41" i="31"/>
  <c r="K41" i="31"/>
  <c r="J41" i="31"/>
  <c r="I41" i="31"/>
  <c r="H41" i="31"/>
  <c r="G41" i="31"/>
  <c r="F41" i="31"/>
  <c r="E41" i="31"/>
  <c r="D41" i="31"/>
  <c r="M40" i="31"/>
  <c r="L40" i="31"/>
  <c r="K40" i="31"/>
  <c r="J40" i="31"/>
  <c r="I40" i="31"/>
  <c r="H40" i="31"/>
  <c r="G40" i="31"/>
  <c r="F40" i="31"/>
  <c r="E40" i="31"/>
  <c r="D40" i="31"/>
  <c r="M39" i="31"/>
  <c r="L39" i="31"/>
  <c r="K39" i="31"/>
  <c r="J39" i="31"/>
  <c r="I39" i="31"/>
  <c r="H39" i="31"/>
  <c r="G39" i="31"/>
  <c r="F39" i="31"/>
  <c r="E39" i="31"/>
  <c r="D39" i="31"/>
  <c r="M38" i="31"/>
  <c r="L38" i="31"/>
  <c r="K38" i="31"/>
  <c r="J38" i="31"/>
  <c r="I38" i="31"/>
  <c r="H38" i="31"/>
  <c r="G38" i="31"/>
  <c r="F38" i="31"/>
  <c r="E38" i="31"/>
  <c r="D38" i="31"/>
  <c r="M37" i="31"/>
  <c r="L37" i="31"/>
  <c r="K37" i="31"/>
  <c r="J37" i="31"/>
  <c r="P37" i="31" s="1"/>
  <c r="I37" i="31"/>
  <c r="H37" i="31"/>
  <c r="G37" i="31"/>
  <c r="F37" i="31"/>
  <c r="E37" i="31"/>
  <c r="D37" i="31"/>
  <c r="M36" i="31"/>
  <c r="L36" i="31"/>
  <c r="K36" i="31"/>
  <c r="J36" i="31"/>
  <c r="I36" i="31"/>
  <c r="H36" i="31"/>
  <c r="G36" i="31"/>
  <c r="F36" i="31"/>
  <c r="E36" i="31"/>
  <c r="D36" i="31"/>
  <c r="M35" i="31"/>
  <c r="L35" i="31"/>
  <c r="K35" i="31"/>
  <c r="J35" i="31"/>
  <c r="P35" i="31" s="1"/>
  <c r="I35" i="31"/>
  <c r="H35" i="31"/>
  <c r="G35" i="31"/>
  <c r="F35" i="31"/>
  <c r="E35" i="31"/>
  <c r="D35" i="31"/>
  <c r="O35" i="31" s="1"/>
  <c r="M34" i="31"/>
  <c r="L34" i="31"/>
  <c r="K34" i="31"/>
  <c r="J34" i="31"/>
  <c r="P34" i="31" s="1"/>
  <c r="I34" i="31"/>
  <c r="H34" i="31"/>
  <c r="G34" i="31"/>
  <c r="F34" i="31"/>
  <c r="E34" i="31"/>
  <c r="D34" i="31"/>
  <c r="M33" i="31"/>
  <c r="L33" i="31"/>
  <c r="K33" i="31"/>
  <c r="J33" i="31"/>
  <c r="P33" i="31" s="1"/>
  <c r="I33" i="31"/>
  <c r="H33" i="31"/>
  <c r="G33" i="31"/>
  <c r="F33" i="31"/>
  <c r="E33" i="31"/>
  <c r="D33" i="31"/>
  <c r="M32" i="31"/>
  <c r="L32" i="31"/>
  <c r="K32" i="31"/>
  <c r="J32" i="31"/>
  <c r="P32" i="31" s="1"/>
  <c r="I32" i="31"/>
  <c r="H32" i="31"/>
  <c r="G32" i="31"/>
  <c r="F32" i="31"/>
  <c r="E32" i="31"/>
  <c r="D32" i="31"/>
  <c r="O32" i="31" s="1"/>
  <c r="M31" i="31"/>
  <c r="L31" i="31"/>
  <c r="K31" i="31"/>
  <c r="J31" i="31"/>
  <c r="P31" i="31" s="1"/>
  <c r="I31" i="31"/>
  <c r="H31" i="31"/>
  <c r="G31" i="31"/>
  <c r="F31" i="31"/>
  <c r="E31" i="31"/>
  <c r="D31" i="31"/>
  <c r="O31" i="31" s="1"/>
  <c r="M30" i="31"/>
  <c r="L30" i="31"/>
  <c r="K30" i="31"/>
  <c r="J30" i="31"/>
  <c r="P30" i="31" s="1"/>
  <c r="I30" i="31"/>
  <c r="H30" i="31"/>
  <c r="G30" i="31"/>
  <c r="F30" i="31"/>
  <c r="E30" i="31"/>
  <c r="D30" i="31"/>
  <c r="M29" i="31"/>
  <c r="L29" i="31"/>
  <c r="K29" i="31"/>
  <c r="J29" i="31"/>
  <c r="P29" i="31" s="1"/>
  <c r="I29" i="31"/>
  <c r="H29" i="31"/>
  <c r="G29" i="31"/>
  <c r="F29" i="31"/>
  <c r="E29" i="31"/>
  <c r="D29" i="31"/>
  <c r="M28" i="31"/>
  <c r="L28" i="31"/>
  <c r="K28" i="31"/>
  <c r="J28" i="31"/>
  <c r="P28" i="31" s="1"/>
  <c r="I28" i="31"/>
  <c r="H28" i="31"/>
  <c r="G28" i="31"/>
  <c r="F28" i="31"/>
  <c r="E28" i="31"/>
  <c r="D28" i="31"/>
  <c r="O28" i="31" s="1"/>
  <c r="M27" i="31"/>
  <c r="L27" i="31"/>
  <c r="K27" i="31"/>
  <c r="J27" i="31"/>
  <c r="P27" i="31" s="1"/>
  <c r="I27" i="31"/>
  <c r="H27" i="31"/>
  <c r="G27" i="31"/>
  <c r="F27" i="31"/>
  <c r="E27" i="31"/>
  <c r="D27" i="31"/>
  <c r="M26" i="31"/>
  <c r="L26" i="31"/>
  <c r="K26" i="31"/>
  <c r="J26" i="31"/>
  <c r="I26" i="31"/>
  <c r="H26" i="31"/>
  <c r="G26" i="31"/>
  <c r="F26" i="31"/>
  <c r="E26" i="31"/>
  <c r="D26" i="31"/>
  <c r="M25" i="31"/>
  <c r="L25" i="31"/>
  <c r="K25" i="31"/>
  <c r="J25" i="31"/>
  <c r="I25" i="31"/>
  <c r="H25" i="31"/>
  <c r="G25" i="31"/>
  <c r="F25" i="31"/>
  <c r="E25" i="31"/>
  <c r="D25" i="31"/>
  <c r="M24" i="31"/>
  <c r="L24" i="31"/>
  <c r="K24" i="31"/>
  <c r="J24" i="31"/>
  <c r="P24" i="31" s="1"/>
  <c r="I24" i="31"/>
  <c r="H24" i="31"/>
  <c r="G24" i="31"/>
  <c r="F24" i="31"/>
  <c r="E24" i="31"/>
  <c r="D24" i="31"/>
  <c r="O24" i="31" s="1"/>
  <c r="M23" i="31"/>
  <c r="L23" i="31"/>
  <c r="K23" i="31"/>
  <c r="J23" i="31"/>
  <c r="P23" i="31" s="1"/>
  <c r="I23" i="31"/>
  <c r="H23" i="31"/>
  <c r="G23" i="31"/>
  <c r="F23" i="31"/>
  <c r="E23" i="31"/>
  <c r="D23" i="31"/>
  <c r="O23" i="31" s="1"/>
  <c r="M22" i="31"/>
  <c r="L22" i="31"/>
  <c r="K22" i="31"/>
  <c r="J22" i="31"/>
  <c r="P22" i="31" s="1"/>
  <c r="I22" i="31"/>
  <c r="H22" i="31"/>
  <c r="G22" i="31"/>
  <c r="F22" i="31"/>
  <c r="E22" i="31"/>
  <c r="D22" i="31"/>
  <c r="M20" i="31"/>
  <c r="L20" i="31"/>
  <c r="K20" i="31"/>
  <c r="J20" i="31"/>
  <c r="P20" i="31" s="1"/>
  <c r="I20" i="31"/>
  <c r="H20" i="31"/>
  <c r="G20" i="31"/>
  <c r="F20" i="31"/>
  <c r="E20" i="31"/>
  <c r="D20" i="31"/>
  <c r="O20" i="31" s="1"/>
  <c r="M16" i="31"/>
  <c r="L16" i="31"/>
  <c r="K16" i="31"/>
  <c r="J16" i="31"/>
  <c r="P16" i="31" s="1"/>
  <c r="I16" i="31"/>
  <c r="H16" i="31"/>
  <c r="G16" i="31"/>
  <c r="F16" i="31"/>
  <c r="E16" i="31"/>
  <c r="D16" i="31"/>
  <c r="O16" i="31" s="1"/>
  <c r="M8" i="31"/>
  <c r="L8" i="31"/>
  <c r="K8" i="31"/>
  <c r="J8" i="31"/>
  <c r="P8" i="31" s="1"/>
  <c r="I8" i="31"/>
  <c r="H8" i="31"/>
  <c r="G8" i="31"/>
  <c r="F8" i="31"/>
  <c r="E8" i="31"/>
  <c r="D8" i="31"/>
  <c r="O8" i="31" s="1"/>
  <c r="M141" i="31"/>
  <c r="L141" i="31"/>
  <c r="N138" i="31"/>
  <c r="M138" i="31"/>
  <c r="L138" i="31"/>
  <c r="B114" i="31"/>
  <c r="S89" i="31" s="1"/>
  <c r="F114" i="31" s="1"/>
  <c r="B152" i="31" s="1"/>
  <c r="A76" i="31"/>
  <c r="P41" i="31"/>
  <c r="O41" i="31"/>
  <c r="P40" i="31"/>
  <c r="O40" i="31"/>
  <c r="P39" i="31"/>
  <c r="O39" i="31"/>
  <c r="P38" i="31"/>
  <c r="O38" i="31"/>
  <c r="K48" i="31"/>
  <c r="B62" i="31"/>
  <c r="A49" i="31"/>
  <c r="P21" i="31"/>
  <c r="A48" i="31"/>
  <c r="P19" i="31"/>
  <c r="O19" i="31"/>
  <c r="O18" i="31"/>
  <c r="O17" i="31"/>
  <c r="P17" i="31"/>
  <c r="P15" i="31"/>
  <c r="O15" i="31"/>
  <c r="O14" i="31"/>
  <c r="O13" i="31"/>
  <c r="P13" i="31"/>
  <c r="O12" i="31"/>
  <c r="P12" i="31"/>
  <c r="P11" i="31"/>
  <c r="O11" i="31"/>
  <c r="O10" i="31"/>
  <c r="O9" i="31"/>
  <c r="P9" i="31"/>
  <c r="P7" i="31"/>
  <c r="O7" i="31"/>
  <c r="O6" i="31"/>
  <c r="O5" i="31"/>
  <c r="P5" i="31"/>
  <c r="O4" i="31"/>
  <c r="P4" i="31"/>
  <c r="P3" i="31"/>
  <c r="O3" i="31"/>
  <c r="P2" i="31"/>
  <c r="O2" i="31"/>
  <c r="P42" i="31"/>
  <c r="P89" i="31" s="1"/>
  <c r="P152" i="31" s="1"/>
  <c r="F76" i="31"/>
  <c r="F142" i="30"/>
  <c r="E142" i="30"/>
  <c r="N141" i="30" s="1"/>
  <c r="D142" i="30"/>
  <c r="C142" i="30"/>
  <c r="F141" i="30"/>
  <c r="E141" i="30"/>
  <c r="N140" i="30" s="1"/>
  <c r="D141" i="30"/>
  <c r="M140" i="30" s="1"/>
  <c r="C141" i="30"/>
  <c r="L140" i="30" s="1"/>
  <c r="F140" i="30"/>
  <c r="E140" i="30"/>
  <c r="N139" i="30" s="1"/>
  <c r="D140" i="30"/>
  <c r="M139" i="30" s="1"/>
  <c r="C140" i="30"/>
  <c r="L139" i="30" s="1"/>
  <c r="F139" i="30"/>
  <c r="E139" i="30"/>
  <c r="D139" i="30"/>
  <c r="C139" i="30"/>
  <c r="F138" i="30"/>
  <c r="E138" i="30"/>
  <c r="D138" i="30"/>
  <c r="C138" i="30"/>
  <c r="F135" i="30"/>
  <c r="E135" i="30"/>
  <c r="D135" i="30"/>
  <c r="C135" i="30"/>
  <c r="F134" i="30"/>
  <c r="E134" i="30"/>
  <c r="D134" i="30"/>
  <c r="C134" i="30"/>
  <c r="F133" i="30"/>
  <c r="E133" i="30"/>
  <c r="D133" i="30"/>
  <c r="C133" i="30"/>
  <c r="F132" i="30"/>
  <c r="E132" i="30"/>
  <c r="D132" i="30"/>
  <c r="C132" i="30"/>
  <c r="F130" i="30"/>
  <c r="E130" i="30"/>
  <c r="D130" i="30"/>
  <c r="C130" i="30"/>
  <c r="F126" i="30"/>
  <c r="E126" i="30"/>
  <c r="D126" i="30"/>
  <c r="C126" i="30"/>
  <c r="M41" i="30"/>
  <c r="L41" i="30"/>
  <c r="K41" i="30"/>
  <c r="J41" i="30"/>
  <c r="I41" i="30"/>
  <c r="H41" i="30"/>
  <c r="G41" i="30"/>
  <c r="F41" i="30"/>
  <c r="E41" i="30"/>
  <c r="D41" i="30"/>
  <c r="M40" i="30"/>
  <c r="L40" i="30"/>
  <c r="K40" i="30"/>
  <c r="J40" i="30"/>
  <c r="I40" i="30"/>
  <c r="H40" i="30"/>
  <c r="G40" i="30"/>
  <c r="F40" i="30"/>
  <c r="E40" i="30"/>
  <c r="D40" i="30"/>
  <c r="M39" i="30"/>
  <c r="L39" i="30"/>
  <c r="K39" i="30"/>
  <c r="J39" i="30"/>
  <c r="I39" i="30"/>
  <c r="H39" i="30"/>
  <c r="G39" i="30"/>
  <c r="F39" i="30"/>
  <c r="E39" i="30"/>
  <c r="D39" i="30"/>
  <c r="M38" i="30"/>
  <c r="L38" i="30"/>
  <c r="K38" i="30"/>
  <c r="J38" i="30"/>
  <c r="I38" i="30"/>
  <c r="H38" i="30"/>
  <c r="G38" i="30"/>
  <c r="F38" i="30"/>
  <c r="E38" i="30"/>
  <c r="D38" i="30"/>
  <c r="M37" i="30"/>
  <c r="L37" i="30"/>
  <c r="K37" i="30"/>
  <c r="J37" i="30"/>
  <c r="P37" i="30" s="1"/>
  <c r="I37" i="30"/>
  <c r="H37" i="30"/>
  <c r="G37" i="30"/>
  <c r="F37" i="30"/>
  <c r="E37" i="30"/>
  <c r="D37" i="30"/>
  <c r="M36" i="30"/>
  <c r="L36" i="30"/>
  <c r="K36" i="30"/>
  <c r="J36" i="30"/>
  <c r="I36" i="30"/>
  <c r="H36" i="30"/>
  <c r="G36" i="30"/>
  <c r="F36" i="30"/>
  <c r="E36" i="30"/>
  <c r="D36" i="30"/>
  <c r="M35" i="30"/>
  <c r="L35" i="30"/>
  <c r="K35" i="30"/>
  <c r="J35" i="30"/>
  <c r="P35" i="30" s="1"/>
  <c r="I35" i="30"/>
  <c r="H35" i="30"/>
  <c r="G35" i="30"/>
  <c r="F35" i="30"/>
  <c r="E35" i="30"/>
  <c r="D35" i="30"/>
  <c r="O35" i="30" s="1"/>
  <c r="M34" i="30"/>
  <c r="L34" i="30"/>
  <c r="K34" i="30"/>
  <c r="J34" i="30"/>
  <c r="P34" i="30" s="1"/>
  <c r="I34" i="30"/>
  <c r="H34" i="30"/>
  <c r="G34" i="30"/>
  <c r="F34" i="30"/>
  <c r="E34" i="30"/>
  <c r="D34" i="30"/>
  <c r="M33" i="30"/>
  <c r="L33" i="30"/>
  <c r="K33" i="30"/>
  <c r="J33" i="30"/>
  <c r="P33" i="30" s="1"/>
  <c r="I33" i="30"/>
  <c r="H33" i="30"/>
  <c r="G33" i="30"/>
  <c r="F33" i="30"/>
  <c r="E33" i="30"/>
  <c r="D33" i="30"/>
  <c r="M32" i="30"/>
  <c r="L32" i="30"/>
  <c r="K32" i="30"/>
  <c r="J32" i="30"/>
  <c r="P32" i="30" s="1"/>
  <c r="I32" i="30"/>
  <c r="H32" i="30"/>
  <c r="G32" i="30"/>
  <c r="F32" i="30"/>
  <c r="E32" i="30"/>
  <c r="D32" i="30"/>
  <c r="O32" i="30" s="1"/>
  <c r="M31" i="30"/>
  <c r="L31" i="30"/>
  <c r="K31" i="30"/>
  <c r="J31" i="30"/>
  <c r="P31" i="30" s="1"/>
  <c r="I31" i="30"/>
  <c r="H31" i="30"/>
  <c r="G31" i="30"/>
  <c r="F31" i="30"/>
  <c r="E31" i="30"/>
  <c r="D31" i="30"/>
  <c r="O31" i="30" s="1"/>
  <c r="M30" i="30"/>
  <c r="L30" i="30"/>
  <c r="K30" i="30"/>
  <c r="J30" i="30"/>
  <c r="P30" i="30" s="1"/>
  <c r="I30" i="30"/>
  <c r="H30" i="30"/>
  <c r="G30" i="30"/>
  <c r="F30" i="30"/>
  <c r="E30" i="30"/>
  <c r="D30" i="30"/>
  <c r="M29" i="30"/>
  <c r="L29" i="30"/>
  <c r="K29" i="30"/>
  <c r="J29" i="30"/>
  <c r="P29" i="30" s="1"/>
  <c r="I29" i="30"/>
  <c r="H29" i="30"/>
  <c r="G29" i="30"/>
  <c r="F29" i="30"/>
  <c r="E29" i="30"/>
  <c r="D29" i="30"/>
  <c r="M28" i="30"/>
  <c r="L28" i="30"/>
  <c r="K28" i="30"/>
  <c r="J28" i="30"/>
  <c r="P28" i="30" s="1"/>
  <c r="I28" i="30"/>
  <c r="H28" i="30"/>
  <c r="G28" i="30"/>
  <c r="F28" i="30"/>
  <c r="E28" i="30"/>
  <c r="D28" i="30"/>
  <c r="O28" i="30" s="1"/>
  <c r="M27" i="30"/>
  <c r="L27" i="30"/>
  <c r="K27" i="30"/>
  <c r="J27" i="30"/>
  <c r="P27" i="30" s="1"/>
  <c r="I27" i="30"/>
  <c r="H27" i="30"/>
  <c r="G27" i="30"/>
  <c r="F27" i="30"/>
  <c r="E27" i="30"/>
  <c r="D27" i="30"/>
  <c r="O27" i="30" s="1"/>
  <c r="M26" i="30"/>
  <c r="L26" i="30"/>
  <c r="K26" i="30"/>
  <c r="J26" i="30"/>
  <c r="I26" i="30"/>
  <c r="H26" i="30"/>
  <c r="G26" i="30"/>
  <c r="F26" i="30"/>
  <c r="E26" i="30"/>
  <c r="D26" i="30"/>
  <c r="M25" i="30"/>
  <c r="L25" i="30"/>
  <c r="K25" i="30"/>
  <c r="J25" i="30"/>
  <c r="I25" i="30"/>
  <c r="H25" i="30"/>
  <c r="G25" i="30"/>
  <c r="F25" i="30"/>
  <c r="E25" i="30"/>
  <c r="D25" i="30"/>
  <c r="M24" i="30"/>
  <c r="L24" i="30"/>
  <c r="K24" i="30"/>
  <c r="J24" i="30"/>
  <c r="P24" i="30" s="1"/>
  <c r="I24" i="30"/>
  <c r="H24" i="30"/>
  <c r="G24" i="30"/>
  <c r="F24" i="30"/>
  <c r="E24" i="30"/>
  <c r="D24" i="30"/>
  <c r="O24" i="30" s="1"/>
  <c r="M23" i="30"/>
  <c r="L23" i="30"/>
  <c r="K23" i="30"/>
  <c r="J23" i="30"/>
  <c r="P23" i="30" s="1"/>
  <c r="I23" i="30"/>
  <c r="H23" i="30"/>
  <c r="G23" i="30"/>
  <c r="F23" i="30"/>
  <c r="E23" i="30"/>
  <c r="D23" i="30"/>
  <c r="O23" i="30" s="1"/>
  <c r="M22" i="30"/>
  <c r="L22" i="30"/>
  <c r="K22" i="30"/>
  <c r="J22" i="30"/>
  <c r="P22" i="30" s="1"/>
  <c r="I22" i="30"/>
  <c r="H22" i="30"/>
  <c r="G22" i="30"/>
  <c r="F22" i="30"/>
  <c r="E22" i="30"/>
  <c r="D22" i="30"/>
  <c r="M20" i="30"/>
  <c r="L20" i="30"/>
  <c r="K20" i="30"/>
  <c r="J20" i="30"/>
  <c r="P20" i="30" s="1"/>
  <c r="I20" i="30"/>
  <c r="H20" i="30"/>
  <c r="G20" i="30"/>
  <c r="F20" i="30"/>
  <c r="E20" i="30"/>
  <c r="D20" i="30"/>
  <c r="O20" i="30" s="1"/>
  <c r="M16" i="30"/>
  <c r="L16" i="30"/>
  <c r="K16" i="30"/>
  <c r="J16" i="30"/>
  <c r="P16" i="30" s="1"/>
  <c r="I16" i="30"/>
  <c r="H16" i="30"/>
  <c r="G16" i="30"/>
  <c r="F16" i="30"/>
  <c r="E16" i="30"/>
  <c r="D16" i="30"/>
  <c r="O16" i="30" s="1"/>
  <c r="M8" i="30"/>
  <c r="L8" i="30"/>
  <c r="K8" i="30"/>
  <c r="J8" i="30"/>
  <c r="P8" i="30" s="1"/>
  <c r="I8" i="30"/>
  <c r="H8" i="30"/>
  <c r="G8" i="30"/>
  <c r="F8" i="30"/>
  <c r="E8" i="30"/>
  <c r="D8" i="30"/>
  <c r="O8" i="30" s="1"/>
  <c r="M141" i="30"/>
  <c r="L141" i="30"/>
  <c r="N138" i="30"/>
  <c r="M138" i="30"/>
  <c r="L138" i="30"/>
  <c r="B114" i="30"/>
  <c r="S89" i="30" s="1"/>
  <c r="F114" i="30" s="1"/>
  <c r="B152" i="30" s="1"/>
  <c r="P41" i="30"/>
  <c r="O41" i="30"/>
  <c r="P40" i="30"/>
  <c r="O40" i="30"/>
  <c r="P39" i="30"/>
  <c r="O39" i="30"/>
  <c r="P38" i="30"/>
  <c r="O38" i="30"/>
  <c r="K48" i="30"/>
  <c r="B62" i="30"/>
  <c r="A49" i="30"/>
  <c r="P21" i="30"/>
  <c r="A48" i="30"/>
  <c r="O19" i="30"/>
  <c r="P19" i="30"/>
  <c r="O18" i="30"/>
  <c r="P18" i="30"/>
  <c r="P17" i="30"/>
  <c r="O17" i="30"/>
  <c r="O15" i="30"/>
  <c r="P15" i="30"/>
  <c r="O14" i="30"/>
  <c r="P14" i="30"/>
  <c r="P13" i="30"/>
  <c r="O13" i="30"/>
  <c r="P12" i="30"/>
  <c r="O12" i="30"/>
  <c r="O11" i="30"/>
  <c r="P11" i="30"/>
  <c r="O10" i="30"/>
  <c r="P10" i="30"/>
  <c r="O9" i="30"/>
  <c r="P9" i="30"/>
  <c r="O7" i="30"/>
  <c r="P7" i="30"/>
  <c r="O6" i="30"/>
  <c r="P6" i="30"/>
  <c r="O5" i="30"/>
  <c r="P5" i="30"/>
  <c r="P4" i="30"/>
  <c r="O4" i="30"/>
  <c r="O3" i="30"/>
  <c r="O2" i="30"/>
  <c r="P2" i="30"/>
  <c r="P42" i="30"/>
  <c r="P89" i="30" s="1"/>
  <c r="P152" i="30" s="1"/>
  <c r="F76" i="30"/>
  <c r="F142" i="29"/>
  <c r="E142" i="29"/>
  <c r="N141" i="29" s="1"/>
  <c r="D142" i="29"/>
  <c r="C142" i="29"/>
  <c r="L141" i="29" s="1"/>
  <c r="F141" i="29"/>
  <c r="E141" i="29"/>
  <c r="N140" i="29" s="1"/>
  <c r="D141" i="29"/>
  <c r="M140" i="29" s="1"/>
  <c r="C141" i="29"/>
  <c r="L140" i="29" s="1"/>
  <c r="F140" i="29"/>
  <c r="E140" i="29"/>
  <c r="N139" i="29" s="1"/>
  <c r="D140" i="29"/>
  <c r="M139" i="29" s="1"/>
  <c r="C140" i="29"/>
  <c r="L139" i="29" s="1"/>
  <c r="F139" i="29"/>
  <c r="E139" i="29"/>
  <c r="D139" i="29"/>
  <c r="C139" i="29"/>
  <c r="F138" i="29"/>
  <c r="E138" i="29"/>
  <c r="D138" i="29"/>
  <c r="C138" i="29"/>
  <c r="F135" i="29"/>
  <c r="E135" i="29"/>
  <c r="D135" i="29"/>
  <c r="C135" i="29"/>
  <c r="F134" i="29"/>
  <c r="E134" i="29"/>
  <c r="D134" i="29"/>
  <c r="C134" i="29"/>
  <c r="F133" i="29"/>
  <c r="E133" i="29"/>
  <c r="D133" i="29"/>
  <c r="C133" i="29"/>
  <c r="F132" i="29"/>
  <c r="E132" i="29"/>
  <c r="D132" i="29"/>
  <c r="C132" i="29"/>
  <c r="F130" i="29"/>
  <c r="E130" i="29"/>
  <c r="D130" i="29"/>
  <c r="C130" i="29"/>
  <c r="F126" i="29"/>
  <c r="E126" i="29"/>
  <c r="D126" i="29"/>
  <c r="C126" i="29"/>
  <c r="M41" i="29"/>
  <c r="L41" i="29"/>
  <c r="K41" i="29"/>
  <c r="J41" i="29"/>
  <c r="I41" i="29"/>
  <c r="H41" i="29"/>
  <c r="G41" i="29"/>
  <c r="F41" i="29"/>
  <c r="E41" i="29"/>
  <c r="D41" i="29"/>
  <c r="M40" i="29"/>
  <c r="L40" i="29"/>
  <c r="K40" i="29"/>
  <c r="J40" i="29"/>
  <c r="I40" i="29"/>
  <c r="H40" i="29"/>
  <c r="G40" i="29"/>
  <c r="F40" i="29"/>
  <c r="E40" i="29"/>
  <c r="D40" i="29"/>
  <c r="M39" i="29"/>
  <c r="L39" i="29"/>
  <c r="K39" i="29"/>
  <c r="J39" i="29"/>
  <c r="I39" i="29"/>
  <c r="H39" i="29"/>
  <c r="G39" i="29"/>
  <c r="F39" i="29"/>
  <c r="E39" i="29"/>
  <c r="D39" i="29"/>
  <c r="M38" i="29"/>
  <c r="L38" i="29"/>
  <c r="K38" i="29"/>
  <c r="J38" i="29"/>
  <c r="I38" i="29"/>
  <c r="H38" i="29"/>
  <c r="G38" i="29"/>
  <c r="F38" i="29"/>
  <c r="E38" i="29"/>
  <c r="D38" i="29"/>
  <c r="M37" i="29"/>
  <c r="L37" i="29"/>
  <c r="K37" i="29"/>
  <c r="J37" i="29"/>
  <c r="P37" i="29" s="1"/>
  <c r="I37" i="29"/>
  <c r="H37" i="29"/>
  <c r="G37" i="29"/>
  <c r="F37" i="29"/>
  <c r="E37" i="29"/>
  <c r="D37" i="29"/>
  <c r="O37" i="29" s="1"/>
  <c r="M36" i="29"/>
  <c r="L36" i="29"/>
  <c r="K36" i="29"/>
  <c r="J36" i="29"/>
  <c r="P36" i="29" s="1"/>
  <c r="I36" i="29"/>
  <c r="H36" i="29"/>
  <c r="G36" i="29"/>
  <c r="F36" i="29"/>
  <c r="E36" i="29"/>
  <c r="D36" i="29"/>
  <c r="M35" i="29"/>
  <c r="L35" i="29"/>
  <c r="K35" i="29"/>
  <c r="J35" i="29"/>
  <c r="P35" i="29" s="1"/>
  <c r="I35" i="29"/>
  <c r="H35" i="29"/>
  <c r="G35" i="29"/>
  <c r="F35" i="29"/>
  <c r="E35" i="29"/>
  <c r="D35" i="29"/>
  <c r="O35" i="29" s="1"/>
  <c r="M34" i="29"/>
  <c r="L34" i="29"/>
  <c r="K34" i="29"/>
  <c r="J34" i="29"/>
  <c r="P34" i="29" s="1"/>
  <c r="I34" i="29"/>
  <c r="H34" i="29"/>
  <c r="G34" i="29"/>
  <c r="F34" i="29"/>
  <c r="E34" i="29"/>
  <c r="D34" i="29"/>
  <c r="M33" i="29"/>
  <c r="L33" i="29"/>
  <c r="K33" i="29"/>
  <c r="J33" i="29"/>
  <c r="P33" i="29" s="1"/>
  <c r="I33" i="29"/>
  <c r="H33" i="29"/>
  <c r="G33" i="29"/>
  <c r="F33" i="29"/>
  <c r="E33" i="29"/>
  <c r="D33" i="29"/>
  <c r="O33" i="29" s="1"/>
  <c r="M32" i="29"/>
  <c r="L32" i="29"/>
  <c r="K32" i="29"/>
  <c r="J32" i="29"/>
  <c r="P32" i="29" s="1"/>
  <c r="I32" i="29"/>
  <c r="H32" i="29"/>
  <c r="G32" i="29"/>
  <c r="F32" i="29"/>
  <c r="E32" i="29"/>
  <c r="D32" i="29"/>
  <c r="M31" i="29"/>
  <c r="L31" i="29"/>
  <c r="K31" i="29"/>
  <c r="J31" i="29"/>
  <c r="P31" i="29" s="1"/>
  <c r="I31" i="29"/>
  <c r="H31" i="29"/>
  <c r="G31" i="29"/>
  <c r="F31" i="29"/>
  <c r="E31" i="29"/>
  <c r="D31" i="29"/>
  <c r="M30" i="29"/>
  <c r="L30" i="29"/>
  <c r="K30" i="29"/>
  <c r="J30" i="29"/>
  <c r="P30" i="29" s="1"/>
  <c r="I30" i="29"/>
  <c r="H30" i="29"/>
  <c r="G30" i="29"/>
  <c r="F30" i="29"/>
  <c r="E30" i="29"/>
  <c r="D30" i="29"/>
  <c r="M29" i="29"/>
  <c r="L29" i="29"/>
  <c r="K29" i="29"/>
  <c r="J29" i="29"/>
  <c r="P29" i="29" s="1"/>
  <c r="I29" i="29"/>
  <c r="H29" i="29"/>
  <c r="G29" i="29"/>
  <c r="F29" i="29"/>
  <c r="E29" i="29"/>
  <c r="D29" i="29"/>
  <c r="O29" i="29" s="1"/>
  <c r="M28" i="29"/>
  <c r="L28" i="29"/>
  <c r="K28" i="29"/>
  <c r="J28" i="29"/>
  <c r="P28" i="29" s="1"/>
  <c r="I28" i="29"/>
  <c r="H28" i="29"/>
  <c r="G28" i="29"/>
  <c r="F28" i="29"/>
  <c r="E28" i="29"/>
  <c r="D28" i="29"/>
  <c r="M27" i="29"/>
  <c r="L27" i="29"/>
  <c r="K27" i="29"/>
  <c r="J27" i="29"/>
  <c r="P27" i="29" s="1"/>
  <c r="I27" i="29"/>
  <c r="H27" i="29"/>
  <c r="G27" i="29"/>
  <c r="F27" i="29"/>
  <c r="E27" i="29"/>
  <c r="D27" i="29"/>
  <c r="O27" i="29" s="1"/>
  <c r="M26" i="29"/>
  <c r="L26" i="29"/>
  <c r="K26" i="29"/>
  <c r="J26" i="29"/>
  <c r="I26" i="29"/>
  <c r="H26" i="29"/>
  <c r="G26" i="29"/>
  <c r="F26" i="29"/>
  <c r="E26" i="29"/>
  <c r="D26" i="29"/>
  <c r="M25" i="29"/>
  <c r="L25" i="29"/>
  <c r="K25" i="29"/>
  <c r="J25" i="29"/>
  <c r="I25" i="29"/>
  <c r="H25" i="29"/>
  <c r="G25" i="29"/>
  <c r="F25" i="29"/>
  <c r="E25" i="29"/>
  <c r="D25" i="29"/>
  <c r="M24" i="29"/>
  <c r="L24" i="29"/>
  <c r="K24" i="29"/>
  <c r="J24" i="29"/>
  <c r="P24" i="29" s="1"/>
  <c r="I24" i="29"/>
  <c r="H24" i="29"/>
  <c r="G24" i="29"/>
  <c r="F24" i="29"/>
  <c r="E24" i="29"/>
  <c r="D24" i="29"/>
  <c r="M23" i="29"/>
  <c r="L23" i="29"/>
  <c r="K23" i="29"/>
  <c r="J23" i="29"/>
  <c r="P23" i="29" s="1"/>
  <c r="I23" i="29"/>
  <c r="H23" i="29"/>
  <c r="G23" i="29"/>
  <c r="F23" i="29"/>
  <c r="E23" i="29"/>
  <c r="D23" i="29"/>
  <c r="O23" i="29" s="1"/>
  <c r="M22" i="29"/>
  <c r="L22" i="29"/>
  <c r="K22" i="29"/>
  <c r="J22" i="29"/>
  <c r="P22" i="29" s="1"/>
  <c r="I22" i="29"/>
  <c r="H22" i="29"/>
  <c r="G22" i="29"/>
  <c r="F22" i="29"/>
  <c r="E22" i="29"/>
  <c r="D22" i="29"/>
  <c r="M20" i="29"/>
  <c r="L20" i="29"/>
  <c r="K20" i="29"/>
  <c r="J20" i="29"/>
  <c r="P20" i="29" s="1"/>
  <c r="I20" i="29"/>
  <c r="H20" i="29"/>
  <c r="G20" i="29"/>
  <c r="F20" i="29"/>
  <c r="E20" i="29"/>
  <c r="D20" i="29"/>
  <c r="M16" i="29"/>
  <c r="L16" i="29"/>
  <c r="K16" i="29"/>
  <c r="J16" i="29"/>
  <c r="P16" i="29" s="1"/>
  <c r="I16" i="29"/>
  <c r="H16" i="29"/>
  <c r="G16" i="29"/>
  <c r="F16" i="29"/>
  <c r="E16" i="29"/>
  <c r="D16" i="29"/>
  <c r="M8" i="29"/>
  <c r="L8" i="29"/>
  <c r="K8" i="29"/>
  <c r="J8" i="29"/>
  <c r="P8" i="29" s="1"/>
  <c r="I8" i="29"/>
  <c r="H8" i="29"/>
  <c r="G8" i="29"/>
  <c r="F8" i="29"/>
  <c r="E8" i="29"/>
  <c r="D8" i="29"/>
  <c r="M141" i="29"/>
  <c r="N138" i="29"/>
  <c r="M138" i="29"/>
  <c r="L138" i="29"/>
  <c r="B114" i="29"/>
  <c r="S89" i="29" s="1"/>
  <c r="F114" i="29" s="1"/>
  <c r="B152" i="29" s="1"/>
  <c r="A76" i="29"/>
  <c r="P41" i="29"/>
  <c r="O41" i="29"/>
  <c r="P40" i="29"/>
  <c r="O40" i="29"/>
  <c r="P39" i="29"/>
  <c r="O39" i="29"/>
  <c r="P38" i="29"/>
  <c r="O38" i="29"/>
  <c r="K48" i="29"/>
  <c r="A49" i="29"/>
  <c r="P21" i="29"/>
  <c r="O21" i="29"/>
  <c r="A48" i="29"/>
  <c r="P19" i="29"/>
  <c r="O19" i="29"/>
  <c r="O18" i="29"/>
  <c r="P17" i="29"/>
  <c r="O17" i="29"/>
  <c r="P15" i="29"/>
  <c r="O15" i="29"/>
  <c r="O14" i="29"/>
  <c r="P13" i="29"/>
  <c r="O13" i="29"/>
  <c r="P12" i="29"/>
  <c r="P11" i="29"/>
  <c r="O11" i="29"/>
  <c r="O10" i="29"/>
  <c r="P9" i="29"/>
  <c r="O9" i="29"/>
  <c r="P7" i="29"/>
  <c r="O7" i="29"/>
  <c r="O6" i="29"/>
  <c r="P5" i="29"/>
  <c r="O5" i="29"/>
  <c r="P4" i="29"/>
  <c r="P3" i="29"/>
  <c r="O3" i="29"/>
  <c r="P2" i="29"/>
  <c r="O2" i="29"/>
  <c r="P42" i="29"/>
  <c r="P89" i="29" s="1"/>
  <c r="P152" i="29" s="1"/>
  <c r="F76" i="29"/>
  <c r="F142" i="28"/>
  <c r="E142" i="28"/>
  <c r="N141" i="28" s="1"/>
  <c r="D142" i="28"/>
  <c r="M141" i="28" s="1"/>
  <c r="C142" i="28"/>
  <c r="L141" i="28" s="1"/>
  <c r="F141" i="28"/>
  <c r="E141" i="28"/>
  <c r="N140" i="28" s="1"/>
  <c r="D141" i="28"/>
  <c r="M140" i="28" s="1"/>
  <c r="C141" i="28"/>
  <c r="L140" i="28" s="1"/>
  <c r="F140" i="28"/>
  <c r="E140" i="28"/>
  <c r="N139" i="28" s="1"/>
  <c r="D140" i="28"/>
  <c r="M139" i="28" s="1"/>
  <c r="C140" i="28"/>
  <c r="L139" i="28" s="1"/>
  <c r="F139" i="28"/>
  <c r="E139" i="28"/>
  <c r="D139" i="28"/>
  <c r="C139" i="28"/>
  <c r="F138" i="28"/>
  <c r="E138" i="28"/>
  <c r="D138" i="28"/>
  <c r="C138" i="28"/>
  <c r="F135" i="28"/>
  <c r="E135" i="28"/>
  <c r="D135" i="28"/>
  <c r="C135" i="28"/>
  <c r="F134" i="28"/>
  <c r="E134" i="28"/>
  <c r="D134" i="28"/>
  <c r="C134" i="28"/>
  <c r="F133" i="28"/>
  <c r="E133" i="28"/>
  <c r="D133" i="28"/>
  <c r="C133" i="28"/>
  <c r="F132" i="28"/>
  <c r="E132" i="28"/>
  <c r="D132" i="28"/>
  <c r="C132" i="28"/>
  <c r="F130" i="28"/>
  <c r="E130" i="28"/>
  <c r="D130" i="28"/>
  <c r="C130" i="28"/>
  <c r="F126" i="28"/>
  <c r="E126" i="28"/>
  <c r="D126" i="28"/>
  <c r="C126" i="28"/>
  <c r="M41" i="28"/>
  <c r="L41" i="28"/>
  <c r="K41" i="28"/>
  <c r="J41" i="28"/>
  <c r="I41" i="28"/>
  <c r="H41" i="28"/>
  <c r="G41" i="28"/>
  <c r="F41" i="28"/>
  <c r="E41" i="28"/>
  <c r="D41" i="28"/>
  <c r="L40" i="28"/>
  <c r="K40" i="28"/>
  <c r="H40" i="28"/>
  <c r="G40" i="28"/>
  <c r="F40" i="28"/>
  <c r="E40" i="28"/>
  <c r="D40" i="28"/>
  <c r="L39" i="28"/>
  <c r="K39" i="28"/>
  <c r="J39" i="28"/>
  <c r="H39" i="28"/>
  <c r="G39" i="28"/>
  <c r="F39" i="28"/>
  <c r="E39" i="28"/>
  <c r="D39" i="28"/>
  <c r="M38" i="28"/>
  <c r="L38" i="28"/>
  <c r="K38" i="28"/>
  <c r="J38" i="28"/>
  <c r="I38" i="28"/>
  <c r="H38" i="28"/>
  <c r="G38" i="28"/>
  <c r="F38" i="28"/>
  <c r="E38" i="28"/>
  <c r="D38" i="28"/>
  <c r="M37" i="28"/>
  <c r="L37" i="28"/>
  <c r="K37" i="28"/>
  <c r="J37" i="28"/>
  <c r="P37" i="28" s="1"/>
  <c r="I37" i="28"/>
  <c r="H37" i="28"/>
  <c r="G37" i="28"/>
  <c r="F37" i="28"/>
  <c r="E37" i="28"/>
  <c r="D37" i="28"/>
  <c r="M36" i="28"/>
  <c r="L36" i="28"/>
  <c r="K36" i="28"/>
  <c r="J36" i="28"/>
  <c r="I36" i="28"/>
  <c r="H36" i="28"/>
  <c r="G36" i="28"/>
  <c r="F36" i="28"/>
  <c r="E36" i="28"/>
  <c r="D36" i="28"/>
  <c r="M35" i="28"/>
  <c r="L35" i="28"/>
  <c r="K35" i="28"/>
  <c r="J35" i="28"/>
  <c r="P35" i="28" s="1"/>
  <c r="I35" i="28"/>
  <c r="H35" i="28"/>
  <c r="G35" i="28"/>
  <c r="F35" i="28"/>
  <c r="E35" i="28"/>
  <c r="D35" i="28"/>
  <c r="O35" i="28" s="1"/>
  <c r="M34" i="28"/>
  <c r="L34" i="28"/>
  <c r="K34" i="28"/>
  <c r="J34" i="28"/>
  <c r="P34" i="28" s="1"/>
  <c r="I34" i="28"/>
  <c r="H34" i="28"/>
  <c r="G34" i="28"/>
  <c r="F34" i="28"/>
  <c r="E34" i="28"/>
  <c r="D34" i="28"/>
  <c r="M33" i="28"/>
  <c r="L33" i="28"/>
  <c r="K33" i="28"/>
  <c r="J33" i="28"/>
  <c r="P33" i="28" s="1"/>
  <c r="I33" i="28"/>
  <c r="H33" i="28"/>
  <c r="G33" i="28"/>
  <c r="F33" i="28"/>
  <c r="E33" i="28"/>
  <c r="D33" i="28"/>
  <c r="M32" i="28"/>
  <c r="L32" i="28"/>
  <c r="K32" i="28"/>
  <c r="J32" i="28"/>
  <c r="P32" i="28" s="1"/>
  <c r="I32" i="28"/>
  <c r="H32" i="28"/>
  <c r="G32" i="28"/>
  <c r="F32" i="28"/>
  <c r="E32" i="28"/>
  <c r="D32" i="28"/>
  <c r="O32" i="28" s="1"/>
  <c r="M31" i="28"/>
  <c r="L31" i="28"/>
  <c r="K31" i="28"/>
  <c r="J31" i="28"/>
  <c r="P31" i="28" s="1"/>
  <c r="I31" i="28"/>
  <c r="H31" i="28"/>
  <c r="G31" i="28"/>
  <c r="F31" i="28"/>
  <c r="E31" i="28"/>
  <c r="D31" i="28"/>
  <c r="O31" i="28" s="1"/>
  <c r="M30" i="28"/>
  <c r="L30" i="28"/>
  <c r="K30" i="28"/>
  <c r="J30" i="28"/>
  <c r="P30" i="28" s="1"/>
  <c r="I30" i="28"/>
  <c r="H30" i="28"/>
  <c r="G30" i="28"/>
  <c r="F30" i="28"/>
  <c r="E30" i="28"/>
  <c r="D30" i="28"/>
  <c r="M29" i="28"/>
  <c r="L29" i="28"/>
  <c r="K29" i="28"/>
  <c r="J29" i="28"/>
  <c r="P29" i="28" s="1"/>
  <c r="I29" i="28"/>
  <c r="H29" i="28"/>
  <c r="G29" i="28"/>
  <c r="F29" i="28"/>
  <c r="E29" i="28"/>
  <c r="D29" i="28"/>
  <c r="M28" i="28"/>
  <c r="L28" i="28"/>
  <c r="K28" i="28"/>
  <c r="H28" i="28"/>
  <c r="G28" i="28"/>
  <c r="F28" i="28"/>
  <c r="E28" i="28"/>
  <c r="D28" i="28"/>
  <c r="M27" i="28"/>
  <c r="L27" i="28"/>
  <c r="K27" i="28"/>
  <c r="J27" i="28"/>
  <c r="P27" i="28" s="1"/>
  <c r="I27" i="28"/>
  <c r="H27" i="28"/>
  <c r="G27" i="28"/>
  <c r="F27" i="28"/>
  <c r="E27" i="28"/>
  <c r="D27" i="28"/>
  <c r="O27" i="28" s="1"/>
  <c r="M26" i="28"/>
  <c r="L26" i="28"/>
  <c r="K26" i="28"/>
  <c r="J26" i="28"/>
  <c r="I26" i="28"/>
  <c r="H26" i="28"/>
  <c r="G26" i="28"/>
  <c r="F26" i="28"/>
  <c r="E26" i="28"/>
  <c r="D26" i="28"/>
  <c r="M25" i="28"/>
  <c r="L25" i="28"/>
  <c r="K25" i="28"/>
  <c r="J25" i="28"/>
  <c r="I25" i="28"/>
  <c r="H25" i="28"/>
  <c r="G25" i="28"/>
  <c r="F25" i="28"/>
  <c r="E25" i="28"/>
  <c r="D25" i="28"/>
  <c r="M24" i="28"/>
  <c r="L24" i="28"/>
  <c r="K24" i="28"/>
  <c r="J24" i="28"/>
  <c r="P24" i="28" s="1"/>
  <c r="I24" i="28"/>
  <c r="H24" i="28"/>
  <c r="G24" i="28"/>
  <c r="F24" i="28"/>
  <c r="E24" i="28"/>
  <c r="D24" i="28"/>
  <c r="O24" i="28" s="1"/>
  <c r="M23" i="28"/>
  <c r="L23" i="28"/>
  <c r="K23" i="28"/>
  <c r="J23" i="28"/>
  <c r="P23" i="28" s="1"/>
  <c r="I23" i="28"/>
  <c r="H23" i="28"/>
  <c r="G23" i="28"/>
  <c r="F23" i="28"/>
  <c r="E23" i="28"/>
  <c r="D23" i="28"/>
  <c r="O23" i="28" s="1"/>
  <c r="M22" i="28"/>
  <c r="L22" i="28"/>
  <c r="K22" i="28"/>
  <c r="J22" i="28"/>
  <c r="P22" i="28" s="1"/>
  <c r="I22" i="28"/>
  <c r="H22" i="28"/>
  <c r="G22" i="28"/>
  <c r="F22" i="28"/>
  <c r="E22" i="28"/>
  <c r="D22" i="28"/>
  <c r="M20" i="28"/>
  <c r="L20" i="28"/>
  <c r="K20" i="28"/>
  <c r="J20" i="28"/>
  <c r="P20" i="28" s="1"/>
  <c r="I20" i="28"/>
  <c r="H20" i="28"/>
  <c r="G20" i="28"/>
  <c r="F20" i="28"/>
  <c r="E20" i="28"/>
  <c r="D20" i="28"/>
  <c r="O20" i="28" s="1"/>
  <c r="M16" i="28"/>
  <c r="L16" i="28"/>
  <c r="K16" i="28"/>
  <c r="J16" i="28"/>
  <c r="P16" i="28" s="1"/>
  <c r="I16" i="28"/>
  <c r="H16" i="28"/>
  <c r="G16" i="28"/>
  <c r="F16" i="28"/>
  <c r="E16" i="28"/>
  <c r="D16" i="28"/>
  <c r="M8" i="28"/>
  <c r="L8" i="28"/>
  <c r="K8" i="28"/>
  <c r="J8" i="28"/>
  <c r="P8" i="28" s="1"/>
  <c r="I8" i="28"/>
  <c r="H8" i="28"/>
  <c r="G8" i="28"/>
  <c r="F8" i="28"/>
  <c r="E8" i="28"/>
  <c r="D8" i="28"/>
  <c r="N138" i="28"/>
  <c r="M138" i="28"/>
  <c r="L138" i="28"/>
  <c r="B114" i="28"/>
  <c r="S89" i="28" s="1"/>
  <c r="F114" i="28" s="1"/>
  <c r="B152" i="28" s="1"/>
  <c r="A76" i="28"/>
  <c r="P41" i="28"/>
  <c r="O41" i="28"/>
  <c r="P40" i="28"/>
  <c r="O40" i="28"/>
  <c r="P39" i="28"/>
  <c r="O39" i="28"/>
  <c r="P38" i="28"/>
  <c r="O38" i="28"/>
  <c r="P28" i="28"/>
  <c r="O28" i="28"/>
  <c r="K48" i="28"/>
  <c r="B62" i="28"/>
  <c r="A49" i="28"/>
  <c r="P21" i="28"/>
  <c r="A48" i="28"/>
  <c r="P19" i="28"/>
  <c r="O19" i="28"/>
  <c r="O18" i="28"/>
  <c r="P17" i="28"/>
  <c r="O17" i="28"/>
  <c r="P15" i="28"/>
  <c r="O15" i="28"/>
  <c r="O14" i="28"/>
  <c r="P13" i="28"/>
  <c r="O13" i="28"/>
  <c r="P12" i="28"/>
  <c r="P11" i="28"/>
  <c r="O11" i="28"/>
  <c r="O10" i="28"/>
  <c r="P9" i="28"/>
  <c r="O9" i="28"/>
  <c r="P7" i="28"/>
  <c r="O7" i="28"/>
  <c r="O6" i="28"/>
  <c r="P5" i="28"/>
  <c r="O5" i="28"/>
  <c r="P4" i="28"/>
  <c r="P3" i="28"/>
  <c r="O3" i="28"/>
  <c r="P2" i="28"/>
  <c r="O2" i="28"/>
  <c r="P42" i="28"/>
  <c r="P89" i="28" s="1"/>
  <c r="P152" i="28" s="1"/>
  <c r="F76" i="28"/>
  <c r="F142" i="27"/>
  <c r="E142" i="27"/>
  <c r="N141" i="27" s="1"/>
  <c r="D142" i="27"/>
  <c r="M141" i="27" s="1"/>
  <c r="C142" i="27"/>
  <c r="L141" i="27" s="1"/>
  <c r="F141" i="27"/>
  <c r="E141" i="27"/>
  <c r="N140" i="27" s="1"/>
  <c r="D141" i="27"/>
  <c r="M140" i="27" s="1"/>
  <c r="C141" i="27"/>
  <c r="L140" i="27" s="1"/>
  <c r="F140" i="27"/>
  <c r="E140" i="27"/>
  <c r="N139" i="27" s="1"/>
  <c r="D140" i="27"/>
  <c r="M139" i="27" s="1"/>
  <c r="C140" i="27"/>
  <c r="L139" i="27" s="1"/>
  <c r="F139" i="27"/>
  <c r="E139" i="27"/>
  <c r="D139" i="27"/>
  <c r="C139" i="27"/>
  <c r="F138" i="27"/>
  <c r="E138" i="27"/>
  <c r="D138" i="27"/>
  <c r="C138" i="27"/>
  <c r="F135" i="27"/>
  <c r="E135" i="27"/>
  <c r="D135" i="27"/>
  <c r="C135" i="27"/>
  <c r="F134" i="27"/>
  <c r="E134" i="27"/>
  <c r="D134" i="27"/>
  <c r="C134" i="27"/>
  <c r="F133" i="27"/>
  <c r="E133" i="27"/>
  <c r="D133" i="27"/>
  <c r="C133" i="27"/>
  <c r="F132" i="27"/>
  <c r="E132" i="27"/>
  <c r="D132" i="27"/>
  <c r="C132" i="27"/>
  <c r="F130" i="27"/>
  <c r="E130" i="27"/>
  <c r="D130" i="27"/>
  <c r="C130" i="27"/>
  <c r="F126" i="27"/>
  <c r="E126" i="27"/>
  <c r="D126" i="27"/>
  <c r="C126" i="27"/>
  <c r="M41" i="27"/>
  <c r="L41" i="27"/>
  <c r="K41" i="27"/>
  <c r="J41" i="27"/>
  <c r="I41" i="27"/>
  <c r="H41" i="27"/>
  <c r="G41" i="27"/>
  <c r="F41" i="27"/>
  <c r="E41" i="27"/>
  <c r="D41" i="27"/>
  <c r="M40" i="27"/>
  <c r="L40" i="27"/>
  <c r="K40" i="27"/>
  <c r="J40" i="27"/>
  <c r="I40" i="27"/>
  <c r="H40" i="27"/>
  <c r="G40" i="27"/>
  <c r="F40" i="27"/>
  <c r="E40" i="27"/>
  <c r="D40" i="27"/>
  <c r="L39" i="27"/>
  <c r="K39" i="27"/>
  <c r="J39" i="27"/>
  <c r="I39" i="27"/>
  <c r="H39" i="27"/>
  <c r="G39" i="27"/>
  <c r="F39" i="27"/>
  <c r="E39" i="27"/>
  <c r="D39" i="27"/>
  <c r="M38" i="27"/>
  <c r="L38" i="27"/>
  <c r="K38" i="27"/>
  <c r="J38" i="27"/>
  <c r="I38" i="27"/>
  <c r="H38" i="27"/>
  <c r="G38" i="27"/>
  <c r="F38" i="27"/>
  <c r="E38" i="27"/>
  <c r="D38" i="27"/>
  <c r="M37" i="27"/>
  <c r="L37" i="27"/>
  <c r="K37" i="27"/>
  <c r="J37" i="27"/>
  <c r="P37" i="27" s="1"/>
  <c r="I37" i="27"/>
  <c r="H37" i="27"/>
  <c r="G37" i="27"/>
  <c r="F37" i="27"/>
  <c r="E37" i="27"/>
  <c r="D37" i="27"/>
  <c r="M36" i="27"/>
  <c r="L36" i="27"/>
  <c r="K36" i="27"/>
  <c r="J36" i="27"/>
  <c r="I36" i="27"/>
  <c r="H36" i="27"/>
  <c r="G36" i="27"/>
  <c r="F36" i="27"/>
  <c r="E36" i="27"/>
  <c r="D36" i="27"/>
  <c r="M35" i="27"/>
  <c r="L35" i="27"/>
  <c r="K35" i="27"/>
  <c r="J35" i="27"/>
  <c r="P35" i="27" s="1"/>
  <c r="I35" i="27"/>
  <c r="H35" i="27"/>
  <c r="G35" i="27"/>
  <c r="F35" i="27"/>
  <c r="E35" i="27"/>
  <c r="D35" i="27"/>
  <c r="M34" i="27"/>
  <c r="L34" i="27"/>
  <c r="K34" i="27"/>
  <c r="J34" i="27"/>
  <c r="P34" i="27" s="1"/>
  <c r="I34" i="27"/>
  <c r="H34" i="27"/>
  <c r="G34" i="27"/>
  <c r="F34" i="27"/>
  <c r="E34" i="27"/>
  <c r="D34" i="27"/>
  <c r="O34" i="27" s="1"/>
  <c r="M33" i="27"/>
  <c r="L33" i="27"/>
  <c r="K33" i="27"/>
  <c r="J33" i="27"/>
  <c r="P33" i="27" s="1"/>
  <c r="I33" i="27"/>
  <c r="H33" i="27"/>
  <c r="G33" i="27"/>
  <c r="F33" i="27"/>
  <c r="E33" i="27"/>
  <c r="D33" i="27"/>
  <c r="M32" i="27"/>
  <c r="L32" i="27"/>
  <c r="K32" i="27"/>
  <c r="J32" i="27"/>
  <c r="P32" i="27" s="1"/>
  <c r="I32" i="27"/>
  <c r="H32" i="27"/>
  <c r="G32" i="27"/>
  <c r="F32" i="27"/>
  <c r="E32" i="27"/>
  <c r="D32" i="27"/>
  <c r="O32" i="27" s="1"/>
  <c r="M31" i="27"/>
  <c r="L31" i="27"/>
  <c r="K31" i="27"/>
  <c r="J31" i="27"/>
  <c r="P31" i="27" s="1"/>
  <c r="I31" i="27"/>
  <c r="H31" i="27"/>
  <c r="G31" i="27"/>
  <c r="F31" i="27"/>
  <c r="E31" i="27"/>
  <c r="D31" i="27"/>
  <c r="M30" i="27"/>
  <c r="L30" i="27"/>
  <c r="K30" i="27"/>
  <c r="J30" i="27"/>
  <c r="P30" i="27" s="1"/>
  <c r="I30" i="27"/>
  <c r="H30" i="27"/>
  <c r="G30" i="27"/>
  <c r="F30" i="27"/>
  <c r="E30" i="27"/>
  <c r="D30" i="27"/>
  <c r="O30" i="27" s="1"/>
  <c r="M29" i="27"/>
  <c r="L29" i="27"/>
  <c r="K29" i="27"/>
  <c r="J29" i="27"/>
  <c r="P29" i="27" s="1"/>
  <c r="I29" i="27"/>
  <c r="H29" i="27"/>
  <c r="G29" i="27"/>
  <c r="F29" i="27"/>
  <c r="E29" i="27"/>
  <c r="D29" i="27"/>
  <c r="M28" i="27"/>
  <c r="K28" i="27"/>
  <c r="J28" i="27"/>
  <c r="H28" i="27"/>
  <c r="G28" i="27"/>
  <c r="F28" i="27"/>
  <c r="E28" i="27"/>
  <c r="D28" i="27"/>
  <c r="M27" i="27"/>
  <c r="L27" i="27"/>
  <c r="K27" i="27"/>
  <c r="J27" i="27"/>
  <c r="I27" i="27"/>
  <c r="H27" i="27"/>
  <c r="G27" i="27"/>
  <c r="F27" i="27"/>
  <c r="E27" i="27"/>
  <c r="D27" i="27"/>
  <c r="M26" i="27"/>
  <c r="L26" i="27"/>
  <c r="K26" i="27"/>
  <c r="J26" i="27"/>
  <c r="I26" i="27"/>
  <c r="H26" i="27"/>
  <c r="G26" i="27"/>
  <c r="F26" i="27"/>
  <c r="E26" i="27"/>
  <c r="D26" i="27"/>
  <c r="M25" i="27"/>
  <c r="L25" i="27"/>
  <c r="K25" i="27"/>
  <c r="J25" i="27"/>
  <c r="I25" i="27"/>
  <c r="H25" i="27"/>
  <c r="G25" i="27"/>
  <c r="F25" i="27"/>
  <c r="E25" i="27"/>
  <c r="D25" i="27"/>
  <c r="M24" i="27"/>
  <c r="L24" i="27"/>
  <c r="K24" i="27"/>
  <c r="J24" i="27"/>
  <c r="P24" i="27" s="1"/>
  <c r="I24" i="27"/>
  <c r="H24" i="27"/>
  <c r="G24" i="27"/>
  <c r="F24" i="27"/>
  <c r="E24" i="27"/>
  <c r="D24" i="27"/>
  <c r="O24" i="27" s="1"/>
  <c r="M23" i="27"/>
  <c r="L23" i="27"/>
  <c r="K23" i="27"/>
  <c r="J23" i="27"/>
  <c r="P23" i="27" s="1"/>
  <c r="I23" i="27"/>
  <c r="H23" i="27"/>
  <c r="G23" i="27"/>
  <c r="F23" i="27"/>
  <c r="E23" i="27"/>
  <c r="D23" i="27"/>
  <c r="M22" i="27"/>
  <c r="L22" i="27"/>
  <c r="K22" i="27"/>
  <c r="J22" i="27"/>
  <c r="P22" i="27" s="1"/>
  <c r="I22" i="27"/>
  <c r="H22" i="27"/>
  <c r="G22" i="27"/>
  <c r="F22" i="27"/>
  <c r="E22" i="27"/>
  <c r="D22" i="27"/>
  <c r="O22" i="27" s="1"/>
  <c r="M20" i="27"/>
  <c r="L20" i="27"/>
  <c r="K20" i="27"/>
  <c r="J20" i="27"/>
  <c r="P20" i="27" s="1"/>
  <c r="I20" i="27"/>
  <c r="H20" i="27"/>
  <c r="G20" i="27"/>
  <c r="F20" i="27"/>
  <c r="E20" i="27"/>
  <c r="D20" i="27"/>
  <c r="O20" i="27" s="1"/>
  <c r="M16" i="27"/>
  <c r="L16" i="27"/>
  <c r="K16" i="27"/>
  <c r="J16" i="27"/>
  <c r="P16" i="27" s="1"/>
  <c r="I16" i="27"/>
  <c r="H16" i="27"/>
  <c r="G16" i="27"/>
  <c r="F16" i="27"/>
  <c r="E16" i="27"/>
  <c r="D16" i="27"/>
  <c r="O16" i="27" s="1"/>
  <c r="M8" i="27"/>
  <c r="L8" i="27"/>
  <c r="K8" i="27"/>
  <c r="J8" i="27"/>
  <c r="P8" i="27" s="1"/>
  <c r="I8" i="27"/>
  <c r="H8" i="27"/>
  <c r="G8" i="27"/>
  <c r="F8" i="27"/>
  <c r="E8" i="27"/>
  <c r="D8" i="27"/>
  <c r="O8" i="27" s="1"/>
  <c r="N138" i="27"/>
  <c r="M138" i="27"/>
  <c r="L138" i="27"/>
  <c r="B114" i="27"/>
  <c r="B89" i="27" s="1"/>
  <c r="B42" i="27" s="1"/>
  <c r="F76" i="27"/>
  <c r="P41" i="27"/>
  <c r="O41" i="27"/>
  <c r="P40" i="27"/>
  <c r="O40" i="27"/>
  <c r="P39" i="27"/>
  <c r="O39" i="27"/>
  <c r="P38" i="27"/>
  <c r="O38" i="27"/>
  <c r="P28" i="27"/>
  <c r="O28" i="27"/>
  <c r="K48" i="27"/>
  <c r="B62" i="27"/>
  <c r="A49" i="27"/>
  <c r="P21" i="27"/>
  <c r="A48" i="27"/>
  <c r="P19" i="27"/>
  <c r="O19" i="27"/>
  <c r="O18" i="27"/>
  <c r="P17" i="27"/>
  <c r="O17" i="27"/>
  <c r="P15" i="27"/>
  <c r="O15" i="27"/>
  <c r="O14" i="27"/>
  <c r="P13" i="27"/>
  <c r="O13" i="27"/>
  <c r="O12" i="27"/>
  <c r="P12" i="27"/>
  <c r="P11" i="27"/>
  <c r="O11" i="27"/>
  <c r="O10" i="27"/>
  <c r="P9" i="27"/>
  <c r="O9" i="27"/>
  <c r="P7" i="27"/>
  <c r="O7" i="27"/>
  <c r="O6" i="27"/>
  <c r="P5" i="27"/>
  <c r="O5" i="27"/>
  <c r="O4" i="27"/>
  <c r="P4" i="27"/>
  <c r="P3" i="27"/>
  <c r="O3" i="27"/>
  <c r="O2" i="27"/>
  <c r="P2" i="27"/>
  <c r="P42" i="27"/>
  <c r="P89" i="27" s="1"/>
  <c r="P152" i="27" s="1"/>
  <c r="K62" i="27"/>
  <c r="F142" i="26"/>
  <c r="E142" i="26"/>
  <c r="N141" i="26" s="1"/>
  <c r="D142" i="26"/>
  <c r="C142" i="26"/>
  <c r="L141" i="26" s="1"/>
  <c r="F141" i="26"/>
  <c r="E141" i="26"/>
  <c r="N140" i="26" s="1"/>
  <c r="D141" i="26"/>
  <c r="M140" i="26" s="1"/>
  <c r="C141" i="26"/>
  <c r="L140" i="26" s="1"/>
  <c r="F140" i="26"/>
  <c r="E140" i="26"/>
  <c r="N139" i="26" s="1"/>
  <c r="D140" i="26"/>
  <c r="M139" i="26" s="1"/>
  <c r="C140" i="26"/>
  <c r="L139" i="26" s="1"/>
  <c r="F139" i="26"/>
  <c r="E139" i="26"/>
  <c r="D139" i="26"/>
  <c r="C139" i="26"/>
  <c r="F138" i="26"/>
  <c r="E138" i="26"/>
  <c r="D138" i="26"/>
  <c r="C138" i="26"/>
  <c r="F135" i="26"/>
  <c r="E135" i="26"/>
  <c r="D135" i="26"/>
  <c r="C135" i="26"/>
  <c r="F134" i="26"/>
  <c r="E134" i="26"/>
  <c r="D134" i="26"/>
  <c r="C134" i="26"/>
  <c r="F133" i="26"/>
  <c r="E133" i="26"/>
  <c r="D133" i="26"/>
  <c r="C133" i="26"/>
  <c r="F132" i="26"/>
  <c r="E132" i="26"/>
  <c r="D132" i="26"/>
  <c r="C132" i="26"/>
  <c r="F130" i="26"/>
  <c r="E130" i="26"/>
  <c r="D130" i="26"/>
  <c r="C130" i="26"/>
  <c r="F126" i="26"/>
  <c r="E126" i="26"/>
  <c r="D126" i="26"/>
  <c r="C126" i="26"/>
  <c r="M41" i="26"/>
  <c r="L41" i="26"/>
  <c r="K41" i="26"/>
  <c r="J41" i="26"/>
  <c r="I41" i="26"/>
  <c r="H41" i="26"/>
  <c r="G41" i="26"/>
  <c r="F41" i="26"/>
  <c r="E41" i="26"/>
  <c r="D41" i="26"/>
  <c r="M40" i="26"/>
  <c r="L40" i="26"/>
  <c r="K40" i="26"/>
  <c r="J40" i="26"/>
  <c r="I40" i="26"/>
  <c r="H40" i="26"/>
  <c r="G40" i="26"/>
  <c r="F40" i="26"/>
  <c r="E40" i="26"/>
  <c r="D40" i="26"/>
  <c r="M39" i="26"/>
  <c r="L39" i="26"/>
  <c r="K39" i="26"/>
  <c r="J39" i="26"/>
  <c r="I39" i="26"/>
  <c r="H39" i="26"/>
  <c r="G39" i="26"/>
  <c r="F39" i="26"/>
  <c r="E39" i="26"/>
  <c r="D39" i="26"/>
  <c r="M38" i="26"/>
  <c r="L38" i="26"/>
  <c r="K38" i="26"/>
  <c r="J38" i="26"/>
  <c r="I38" i="26"/>
  <c r="H38" i="26"/>
  <c r="G38" i="26"/>
  <c r="F38" i="26"/>
  <c r="E38" i="26"/>
  <c r="D38" i="26"/>
  <c r="M37" i="26"/>
  <c r="L37" i="26"/>
  <c r="K37" i="26"/>
  <c r="J37" i="26"/>
  <c r="P37" i="26" s="1"/>
  <c r="I37" i="26"/>
  <c r="H37" i="26"/>
  <c r="G37" i="26"/>
  <c r="F37" i="26"/>
  <c r="E37" i="26"/>
  <c r="D37" i="26"/>
  <c r="M36" i="26"/>
  <c r="L36" i="26"/>
  <c r="K36" i="26"/>
  <c r="J36" i="26"/>
  <c r="I36" i="26"/>
  <c r="H36" i="26"/>
  <c r="G36" i="26"/>
  <c r="F36" i="26"/>
  <c r="E36" i="26"/>
  <c r="D36" i="26"/>
  <c r="M35" i="26"/>
  <c r="L35" i="26"/>
  <c r="K35" i="26"/>
  <c r="J35" i="26"/>
  <c r="P35" i="26" s="1"/>
  <c r="I35" i="26"/>
  <c r="H35" i="26"/>
  <c r="G35" i="26"/>
  <c r="F35" i="26"/>
  <c r="E35" i="26"/>
  <c r="D35" i="26"/>
  <c r="O35" i="26" s="1"/>
  <c r="M34" i="26"/>
  <c r="L34" i="26"/>
  <c r="K34" i="26"/>
  <c r="J34" i="26"/>
  <c r="P34" i="26" s="1"/>
  <c r="I34" i="26"/>
  <c r="H34" i="26"/>
  <c r="G34" i="26"/>
  <c r="F34" i="26"/>
  <c r="E34" i="26"/>
  <c r="D34" i="26"/>
  <c r="M33" i="26"/>
  <c r="L33" i="26"/>
  <c r="K33" i="26"/>
  <c r="J33" i="26"/>
  <c r="P33" i="26" s="1"/>
  <c r="I33" i="26"/>
  <c r="H33" i="26"/>
  <c r="G33" i="26"/>
  <c r="F33" i="26"/>
  <c r="E33" i="26"/>
  <c r="D33" i="26"/>
  <c r="M32" i="26"/>
  <c r="L32" i="26"/>
  <c r="K32" i="26"/>
  <c r="J32" i="26"/>
  <c r="P32" i="26" s="1"/>
  <c r="I32" i="26"/>
  <c r="H32" i="26"/>
  <c r="G32" i="26"/>
  <c r="F32" i="26"/>
  <c r="E32" i="26"/>
  <c r="D32" i="26"/>
  <c r="O32" i="26" s="1"/>
  <c r="M31" i="26"/>
  <c r="L31" i="26"/>
  <c r="K31" i="26"/>
  <c r="J31" i="26"/>
  <c r="P31" i="26" s="1"/>
  <c r="I31" i="26"/>
  <c r="H31" i="26"/>
  <c r="G31" i="26"/>
  <c r="F31" i="26"/>
  <c r="E31" i="26"/>
  <c r="D31" i="26"/>
  <c r="O31" i="26" s="1"/>
  <c r="M30" i="26"/>
  <c r="L30" i="26"/>
  <c r="K30" i="26"/>
  <c r="J30" i="26"/>
  <c r="P30" i="26" s="1"/>
  <c r="I30" i="26"/>
  <c r="H30" i="26"/>
  <c r="G30" i="26"/>
  <c r="F30" i="26"/>
  <c r="E30" i="26"/>
  <c r="D30" i="26"/>
  <c r="M29" i="26"/>
  <c r="L29" i="26"/>
  <c r="K29" i="26"/>
  <c r="J29" i="26"/>
  <c r="P29" i="26" s="1"/>
  <c r="I29" i="26"/>
  <c r="H29" i="26"/>
  <c r="G29" i="26"/>
  <c r="F29" i="26"/>
  <c r="E29" i="26"/>
  <c r="D29" i="26"/>
  <c r="M28" i="26"/>
  <c r="L28" i="26"/>
  <c r="K28" i="26"/>
  <c r="J28" i="26"/>
  <c r="P28" i="26" s="1"/>
  <c r="I28" i="26"/>
  <c r="H28" i="26"/>
  <c r="G28" i="26"/>
  <c r="F28" i="26"/>
  <c r="E28" i="26"/>
  <c r="D28" i="26"/>
  <c r="O28" i="26" s="1"/>
  <c r="M27" i="26"/>
  <c r="L27" i="26"/>
  <c r="K27" i="26"/>
  <c r="J27" i="26"/>
  <c r="P27" i="26" s="1"/>
  <c r="I27" i="26"/>
  <c r="H27" i="26"/>
  <c r="G27" i="26"/>
  <c r="F27" i="26"/>
  <c r="E27" i="26"/>
  <c r="D27" i="26"/>
  <c r="O27" i="26" s="1"/>
  <c r="M26" i="26"/>
  <c r="L26" i="26"/>
  <c r="K26" i="26"/>
  <c r="J26" i="26"/>
  <c r="P26" i="26" s="1"/>
  <c r="I26" i="26"/>
  <c r="H26" i="26"/>
  <c r="G26" i="26"/>
  <c r="F26" i="26"/>
  <c r="E26" i="26"/>
  <c r="D26" i="26"/>
  <c r="M25" i="26"/>
  <c r="L25" i="26"/>
  <c r="K25" i="26"/>
  <c r="J25" i="26"/>
  <c r="I25" i="26"/>
  <c r="H25" i="26"/>
  <c r="G25" i="26"/>
  <c r="F25" i="26"/>
  <c r="E25" i="26"/>
  <c r="D25" i="26"/>
  <c r="M24" i="26"/>
  <c r="L24" i="26"/>
  <c r="K24" i="26"/>
  <c r="J24" i="26"/>
  <c r="P24" i="26" s="1"/>
  <c r="I24" i="26"/>
  <c r="H24" i="26"/>
  <c r="G24" i="26"/>
  <c r="F24" i="26"/>
  <c r="E24" i="26"/>
  <c r="D24" i="26"/>
  <c r="O24" i="26" s="1"/>
  <c r="M23" i="26"/>
  <c r="L23" i="26"/>
  <c r="K23" i="26"/>
  <c r="J23" i="26"/>
  <c r="P23" i="26" s="1"/>
  <c r="I23" i="26"/>
  <c r="H23" i="26"/>
  <c r="G23" i="26"/>
  <c r="F23" i="26"/>
  <c r="E23" i="26"/>
  <c r="D23" i="26"/>
  <c r="O23" i="26" s="1"/>
  <c r="M22" i="26"/>
  <c r="L22" i="26"/>
  <c r="K22" i="26"/>
  <c r="J22" i="26"/>
  <c r="P22" i="26" s="1"/>
  <c r="I22" i="26"/>
  <c r="H22" i="26"/>
  <c r="G22" i="26"/>
  <c r="F22" i="26"/>
  <c r="E22" i="26"/>
  <c r="D22" i="26"/>
  <c r="M20" i="26"/>
  <c r="L20" i="26"/>
  <c r="K20" i="26"/>
  <c r="J20" i="26"/>
  <c r="P20" i="26" s="1"/>
  <c r="I20" i="26"/>
  <c r="H20" i="26"/>
  <c r="G20" i="26"/>
  <c r="F20" i="26"/>
  <c r="E20" i="26"/>
  <c r="D20" i="26"/>
  <c r="O20" i="26" s="1"/>
  <c r="M16" i="26"/>
  <c r="L16" i="26"/>
  <c r="K16" i="26"/>
  <c r="J16" i="26"/>
  <c r="P16" i="26" s="1"/>
  <c r="I16" i="26"/>
  <c r="H16" i="26"/>
  <c r="G16" i="26"/>
  <c r="F16" i="26"/>
  <c r="E16" i="26"/>
  <c r="D16" i="26"/>
  <c r="O16" i="26" s="1"/>
  <c r="M8" i="26"/>
  <c r="L8" i="26"/>
  <c r="K8" i="26"/>
  <c r="J8" i="26"/>
  <c r="P8" i="26" s="1"/>
  <c r="I8" i="26"/>
  <c r="H8" i="26"/>
  <c r="G8" i="26"/>
  <c r="F8" i="26"/>
  <c r="E8" i="26"/>
  <c r="D8" i="26"/>
  <c r="O8" i="26" s="1"/>
  <c r="M141" i="26"/>
  <c r="N138" i="26"/>
  <c r="M138" i="26"/>
  <c r="L138" i="26"/>
  <c r="B114" i="26"/>
  <c r="S89" i="26" s="1"/>
  <c r="F114" i="26" s="1"/>
  <c r="B152" i="26" s="1"/>
  <c r="P41" i="26"/>
  <c r="O41" i="26"/>
  <c r="P40" i="26"/>
  <c r="O40" i="26"/>
  <c r="P39" i="26"/>
  <c r="O39" i="26"/>
  <c r="P38" i="26"/>
  <c r="O38" i="26"/>
  <c r="K48" i="26"/>
  <c r="B62" i="26"/>
  <c r="A49" i="26"/>
  <c r="P21" i="26"/>
  <c r="O19" i="26"/>
  <c r="P19" i="26"/>
  <c r="O18" i="26"/>
  <c r="P18" i="26"/>
  <c r="P17" i="26"/>
  <c r="O17" i="26"/>
  <c r="O15" i="26"/>
  <c r="P15" i="26"/>
  <c r="O14" i="26"/>
  <c r="P14" i="26"/>
  <c r="P13" i="26"/>
  <c r="O13" i="26"/>
  <c r="O12" i="26"/>
  <c r="P12" i="26"/>
  <c r="O11" i="26"/>
  <c r="P11" i="26"/>
  <c r="O10" i="26"/>
  <c r="P10" i="26"/>
  <c r="P9" i="26"/>
  <c r="O9" i="26"/>
  <c r="O7" i="26"/>
  <c r="P7" i="26"/>
  <c r="O6" i="26"/>
  <c r="P6" i="26"/>
  <c r="P5" i="26"/>
  <c r="O5" i="26"/>
  <c r="O4" i="26"/>
  <c r="P4" i="26"/>
  <c r="O3" i="26"/>
  <c r="P3" i="26"/>
  <c r="O2" i="26"/>
  <c r="P2" i="26"/>
  <c r="P42" i="26"/>
  <c r="P89" i="26" s="1"/>
  <c r="P152" i="26" s="1"/>
  <c r="F76" i="26"/>
  <c r="F142" i="25"/>
  <c r="E142" i="25"/>
  <c r="N141" i="25" s="1"/>
  <c r="D142" i="25"/>
  <c r="M141" i="25" s="1"/>
  <c r="C142" i="25"/>
  <c r="L141" i="25" s="1"/>
  <c r="F141" i="25"/>
  <c r="E141" i="25"/>
  <c r="N140" i="25" s="1"/>
  <c r="D141" i="25"/>
  <c r="M140" i="25" s="1"/>
  <c r="C141" i="25"/>
  <c r="L140" i="25" s="1"/>
  <c r="F140" i="25"/>
  <c r="E140" i="25"/>
  <c r="N139" i="25" s="1"/>
  <c r="D140" i="25"/>
  <c r="M139" i="25" s="1"/>
  <c r="C140" i="25"/>
  <c r="L139" i="25" s="1"/>
  <c r="F139" i="25"/>
  <c r="E139" i="25"/>
  <c r="D139" i="25"/>
  <c r="C139" i="25"/>
  <c r="F138" i="25"/>
  <c r="E138" i="25"/>
  <c r="D138" i="25"/>
  <c r="C138" i="25"/>
  <c r="F135" i="25"/>
  <c r="E135" i="25"/>
  <c r="D135" i="25"/>
  <c r="C135" i="25"/>
  <c r="F134" i="25"/>
  <c r="E134" i="25"/>
  <c r="D134" i="25"/>
  <c r="C134" i="25"/>
  <c r="F133" i="25"/>
  <c r="E133" i="25"/>
  <c r="D133" i="25"/>
  <c r="C133" i="25"/>
  <c r="F132" i="25"/>
  <c r="E132" i="25"/>
  <c r="D132" i="25"/>
  <c r="C132" i="25"/>
  <c r="F130" i="25"/>
  <c r="E130" i="25"/>
  <c r="D130" i="25"/>
  <c r="C130" i="25"/>
  <c r="F126" i="25"/>
  <c r="E126" i="25"/>
  <c r="D126" i="25"/>
  <c r="C126" i="25"/>
  <c r="M41" i="25"/>
  <c r="L41" i="25"/>
  <c r="K41" i="25"/>
  <c r="J41" i="25"/>
  <c r="I41" i="25"/>
  <c r="H41" i="25"/>
  <c r="G41" i="25"/>
  <c r="F41" i="25"/>
  <c r="E41" i="25"/>
  <c r="D41" i="25"/>
  <c r="M40" i="25"/>
  <c r="L40" i="25"/>
  <c r="K40" i="25"/>
  <c r="J40" i="25"/>
  <c r="I40" i="25"/>
  <c r="H40" i="25"/>
  <c r="G40" i="25"/>
  <c r="F40" i="25"/>
  <c r="E40" i="25"/>
  <c r="D40" i="25"/>
  <c r="M39" i="25"/>
  <c r="L39" i="25"/>
  <c r="K39" i="25"/>
  <c r="J39" i="25"/>
  <c r="I39" i="25"/>
  <c r="H39" i="25"/>
  <c r="G39" i="25"/>
  <c r="F39" i="25"/>
  <c r="E39" i="25"/>
  <c r="D39" i="25"/>
  <c r="M38" i="25"/>
  <c r="L38" i="25"/>
  <c r="K38" i="25"/>
  <c r="J38" i="25"/>
  <c r="I38" i="25"/>
  <c r="H38" i="25"/>
  <c r="G38" i="25"/>
  <c r="F38" i="25"/>
  <c r="E38" i="25"/>
  <c r="D38" i="25"/>
  <c r="M37" i="25"/>
  <c r="L37" i="25"/>
  <c r="K37" i="25"/>
  <c r="J37" i="25"/>
  <c r="P37" i="25" s="1"/>
  <c r="I37" i="25"/>
  <c r="H37" i="25"/>
  <c r="G37" i="25"/>
  <c r="F37" i="25"/>
  <c r="E37" i="25"/>
  <c r="D37" i="25"/>
  <c r="O37" i="25" s="1"/>
  <c r="M36" i="25"/>
  <c r="L36" i="25"/>
  <c r="K36" i="25"/>
  <c r="J36" i="25"/>
  <c r="P36" i="25" s="1"/>
  <c r="I36" i="25"/>
  <c r="H36" i="25"/>
  <c r="G36" i="25"/>
  <c r="F36" i="25"/>
  <c r="E36" i="25"/>
  <c r="D36" i="25"/>
  <c r="M35" i="25"/>
  <c r="L35" i="25"/>
  <c r="K35" i="25"/>
  <c r="J35" i="25"/>
  <c r="P35" i="25" s="1"/>
  <c r="I35" i="25"/>
  <c r="H35" i="25"/>
  <c r="G35" i="25"/>
  <c r="F35" i="25"/>
  <c r="E35" i="25"/>
  <c r="D35" i="25"/>
  <c r="O35" i="25" s="1"/>
  <c r="M34" i="25"/>
  <c r="L34" i="25"/>
  <c r="K34" i="25"/>
  <c r="J34" i="25"/>
  <c r="P34" i="25" s="1"/>
  <c r="I34" i="25"/>
  <c r="H34" i="25"/>
  <c r="G34" i="25"/>
  <c r="F34" i="25"/>
  <c r="E34" i="25"/>
  <c r="D34" i="25"/>
  <c r="M33" i="25"/>
  <c r="L33" i="25"/>
  <c r="K33" i="25"/>
  <c r="J33" i="25"/>
  <c r="P33" i="25" s="1"/>
  <c r="I33" i="25"/>
  <c r="H33" i="25"/>
  <c r="G33" i="25"/>
  <c r="F33" i="25"/>
  <c r="E33" i="25"/>
  <c r="D33" i="25"/>
  <c r="O33" i="25" s="1"/>
  <c r="M32" i="25"/>
  <c r="L32" i="25"/>
  <c r="K32" i="25"/>
  <c r="J32" i="25"/>
  <c r="P32" i="25" s="1"/>
  <c r="I32" i="25"/>
  <c r="H32" i="25"/>
  <c r="G32" i="25"/>
  <c r="F32" i="25"/>
  <c r="E32" i="25"/>
  <c r="D32" i="25"/>
  <c r="M31" i="25"/>
  <c r="L31" i="25"/>
  <c r="K31" i="25"/>
  <c r="J31" i="25"/>
  <c r="P31" i="25" s="1"/>
  <c r="I31" i="25"/>
  <c r="H31" i="25"/>
  <c r="G31" i="25"/>
  <c r="F31" i="25"/>
  <c r="E31" i="25"/>
  <c r="D31" i="25"/>
  <c r="M30" i="25"/>
  <c r="L30" i="25"/>
  <c r="K30" i="25"/>
  <c r="J30" i="25"/>
  <c r="P30" i="25" s="1"/>
  <c r="I30" i="25"/>
  <c r="H30" i="25"/>
  <c r="G30" i="25"/>
  <c r="F30" i="25"/>
  <c r="E30" i="25"/>
  <c r="D30" i="25"/>
  <c r="M29" i="25"/>
  <c r="L29" i="25"/>
  <c r="K29" i="25"/>
  <c r="J29" i="25"/>
  <c r="P29" i="25" s="1"/>
  <c r="I29" i="25"/>
  <c r="H29" i="25"/>
  <c r="G29" i="25"/>
  <c r="F29" i="25"/>
  <c r="E29" i="25"/>
  <c r="D29" i="25"/>
  <c r="O29" i="25" s="1"/>
  <c r="M28" i="25"/>
  <c r="L28" i="25"/>
  <c r="K28" i="25"/>
  <c r="J28" i="25"/>
  <c r="P28" i="25" s="1"/>
  <c r="I28" i="25"/>
  <c r="H28" i="25"/>
  <c r="G28" i="25"/>
  <c r="F28" i="25"/>
  <c r="E28" i="25"/>
  <c r="D28" i="25"/>
  <c r="M27" i="25"/>
  <c r="L27" i="25"/>
  <c r="K27" i="25"/>
  <c r="J27" i="25"/>
  <c r="P27" i="25" s="1"/>
  <c r="I27" i="25"/>
  <c r="H27" i="25"/>
  <c r="G27" i="25"/>
  <c r="F27" i="25"/>
  <c r="E27" i="25"/>
  <c r="D27" i="25"/>
  <c r="O27" i="25" s="1"/>
  <c r="M26" i="25"/>
  <c r="L26" i="25"/>
  <c r="K26" i="25"/>
  <c r="J26" i="25"/>
  <c r="I26" i="25"/>
  <c r="H26" i="25"/>
  <c r="G26" i="25"/>
  <c r="F26" i="25"/>
  <c r="E26" i="25"/>
  <c r="D26" i="25"/>
  <c r="M25" i="25"/>
  <c r="L25" i="25"/>
  <c r="K25" i="25"/>
  <c r="J25" i="25"/>
  <c r="I25" i="25"/>
  <c r="H25" i="25"/>
  <c r="G25" i="25"/>
  <c r="F25" i="25"/>
  <c r="E25" i="25"/>
  <c r="D25" i="25"/>
  <c r="M24" i="25"/>
  <c r="L24" i="25"/>
  <c r="K24" i="25"/>
  <c r="J24" i="25"/>
  <c r="P24" i="25" s="1"/>
  <c r="I24" i="25"/>
  <c r="H24" i="25"/>
  <c r="G24" i="25"/>
  <c r="F24" i="25"/>
  <c r="E24" i="25"/>
  <c r="D24" i="25"/>
  <c r="M23" i="25"/>
  <c r="L23" i="25"/>
  <c r="K23" i="25"/>
  <c r="J23" i="25"/>
  <c r="P23" i="25" s="1"/>
  <c r="I23" i="25"/>
  <c r="H23" i="25"/>
  <c r="G23" i="25"/>
  <c r="F23" i="25"/>
  <c r="E23" i="25"/>
  <c r="D23" i="25"/>
  <c r="O23" i="25" s="1"/>
  <c r="M22" i="25"/>
  <c r="L22" i="25"/>
  <c r="K22" i="25"/>
  <c r="J22" i="25"/>
  <c r="P22" i="25" s="1"/>
  <c r="I22" i="25"/>
  <c r="H22" i="25"/>
  <c r="G22" i="25"/>
  <c r="F22" i="25"/>
  <c r="E22" i="25"/>
  <c r="D22" i="25"/>
  <c r="M20" i="25"/>
  <c r="L20" i="25"/>
  <c r="K20" i="25"/>
  <c r="J20" i="25"/>
  <c r="P20" i="25" s="1"/>
  <c r="I20" i="25"/>
  <c r="H20" i="25"/>
  <c r="G20" i="25"/>
  <c r="F20" i="25"/>
  <c r="E20" i="25"/>
  <c r="D20" i="25"/>
  <c r="M16" i="25"/>
  <c r="L16" i="25"/>
  <c r="K16" i="25"/>
  <c r="J16" i="25"/>
  <c r="P16" i="25" s="1"/>
  <c r="I16" i="25"/>
  <c r="H16" i="25"/>
  <c r="G16" i="25"/>
  <c r="F16" i="25"/>
  <c r="E16" i="25"/>
  <c r="D16" i="25"/>
  <c r="M8" i="25"/>
  <c r="L8" i="25"/>
  <c r="K8" i="25"/>
  <c r="J8" i="25"/>
  <c r="P8" i="25" s="1"/>
  <c r="I8" i="25"/>
  <c r="H8" i="25"/>
  <c r="G8" i="25"/>
  <c r="F8" i="25"/>
  <c r="E8" i="25"/>
  <c r="D8" i="25"/>
  <c r="N138" i="25"/>
  <c r="M138" i="25"/>
  <c r="L138" i="25"/>
  <c r="B114" i="25"/>
  <c r="B89" i="25" s="1"/>
  <c r="B42" i="25" s="1"/>
  <c r="A76" i="25"/>
  <c r="P41" i="25"/>
  <c r="O41" i="25"/>
  <c r="P40" i="25"/>
  <c r="O40" i="25"/>
  <c r="P39" i="25"/>
  <c r="O39" i="25"/>
  <c r="P38" i="25"/>
  <c r="O38" i="25"/>
  <c r="K48" i="25"/>
  <c r="A49" i="25"/>
  <c r="P21" i="25"/>
  <c r="O21" i="25"/>
  <c r="A48" i="25"/>
  <c r="P19" i="25"/>
  <c r="O19" i="25"/>
  <c r="O18" i="25"/>
  <c r="P17" i="25"/>
  <c r="O17" i="25"/>
  <c r="P15" i="25"/>
  <c r="O15" i="25"/>
  <c r="O14" i="25"/>
  <c r="P13" i="25"/>
  <c r="O13" i="25"/>
  <c r="P12" i="25"/>
  <c r="P11" i="25"/>
  <c r="O11" i="25"/>
  <c r="O10" i="25"/>
  <c r="P9" i="25"/>
  <c r="O9" i="25"/>
  <c r="P7" i="25"/>
  <c r="O7" i="25"/>
  <c r="O6" i="25"/>
  <c r="P5" i="25"/>
  <c r="O5" i="25"/>
  <c r="P4" i="25"/>
  <c r="P3" i="25"/>
  <c r="O3" i="25"/>
  <c r="O2" i="25"/>
  <c r="P2" i="25"/>
  <c r="P42" i="25"/>
  <c r="P89" i="25" s="1"/>
  <c r="P152" i="25" s="1"/>
  <c r="F76" i="25"/>
  <c r="F142" i="23"/>
  <c r="E142" i="23"/>
  <c r="N141" i="23" s="1"/>
  <c r="D142" i="23"/>
  <c r="C142" i="23"/>
  <c r="F141" i="23"/>
  <c r="E141" i="23"/>
  <c r="N140" i="23" s="1"/>
  <c r="D141" i="23"/>
  <c r="M140" i="23" s="1"/>
  <c r="C141" i="23"/>
  <c r="L140" i="23" s="1"/>
  <c r="F140" i="23"/>
  <c r="E140" i="23"/>
  <c r="N139" i="23" s="1"/>
  <c r="D140" i="23"/>
  <c r="M139" i="23" s="1"/>
  <c r="C140" i="23"/>
  <c r="L139" i="23" s="1"/>
  <c r="F139" i="23"/>
  <c r="E139" i="23"/>
  <c r="D139" i="23"/>
  <c r="C139" i="23"/>
  <c r="F138" i="23"/>
  <c r="E138" i="23"/>
  <c r="D138" i="23"/>
  <c r="C138" i="23"/>
  <c r="F135" i="23"/>
  <c r="E135" i="23"/>
  <c r="D135" i="23"/>
  <c r="C135" i="23"/>
  <c r="F134" i="23"/>
  <c r="E134" i="23"/>
  <c r="D134" i="23"/>
  <c r="C134" i="23"/>
  <c r="F133" i="23"/>
  <c r="E133" i="23"/>
  <c r="D133" i="23"/>
  <c r="C133" i="23"/>
  <c r="F132" i="23"/>
  <c r="E132" i="23"/>
  <c r="D132" i="23"/>
  <c r="C132" i="23"/>
  <c r="F130" i="23"/>
  <c r="E130" i="23"/>
  <c r="D130" i="23"/>
  <c r="C130" i="23"/>
  <c r="F126" i="23"/>
  <c r="E126" i="23"/>
  <c r="D126" i="23"/>
  <c r="C126" i="23"/>
  <c r="M41" i="23"/>
  <c r="L41" i="23"/>
  <c r="K41" i="23"/>
  <c r="J41" i="23"/>
  <c r="I41" i="23"/>
  <c r="H41" i="23"/>
  <c r="G41" i="23"/>
  <c r="F41" i="23"/>
  <c r="E41" i="23"/>
  <c r="D41" i="23"/>
  <c r="M40" i="23"/>
  <c r="L40" i="23"/>
  <c r="K40" i="23"/>
  <c r="J40" i="23"/>
  <c r="I40" i="23"/>
  <c r="H40" i="23"/>
  <c r="G40" i="23"/>
  <c r="F40" i="23"/>
  <c r="E40" i="23"/>
  <c r="D40" i="23"/>
  <c r="M39" i="23"/>
  <c r="L39" i="23"/>
  <c r="K39" i="23"/>
  <c r="J39" i="23"/>
  <c r="I39" i="23"/>
  <c r="H39" i="23"/>
  <c r="G39" i="23"/>
  <c r="F39" i="23"/>
  <c r="E39" i="23"/>
  <c r="D39" i="23"/>
  <c r="M38" i="23"/>
  <c r="L38" i="23"/>
  <c r="K38" i="23"/>
  <c r="J38" i="23"/>
  <c r="I38" i="23"/>
  <c r="H38" i="23"/>
  <c r="G38" i="23"/>
  <c r="F38" i="23"/>
  <c r="E38" i="23"/>
  <c r="D38" i="23"/>
  <c r="M37" i="23"/>
  <c r="L37" i="23"/>
  <c r="K37" i="23"/>
  <c r="J37" i="23"/>
  <c r="P37" i="23" s="1"/>
  <c r="I37" i="23"/>
  <c r="H37" i="23"/>
  <c r="G37" i="23"/>
  <c r="F37" i="23"/>
  <c r="E37" i="23"/>
  <c r="D37" i="23"/>
  <c r="O37" i="23" s="1"/>
  <c r="M36" i="23"/>
  <c r="L36" i="23"/>
  <c r="K36" i="23"/>
  <c r="J36" i="23"/>
  <c r="I36" i="23"/>
  <c r="H36" i="23"/>
  <c r="G36" i="23"/>
  <c r="F36" i="23"/>
  <c r="E36" i="23"/>
  <c r="D36" i="23"/>
  <c r="M35" i="23"/>
  <c r="L35" i="23"/>
  <c r="K35" i="23"/>
  <c r="J35" i="23"/>
  <c r="P35" i="23" s="1"/>
  <c r="I35" i="23"/>
  <c r="H35" i="23"/>
  <c r="G35" i="23"/>
  <c r="F35" i="23"/>
  <c r="E35" i="23"/>
  <c r="D35" i="23"/>
  <c r="O35" i="23" s="1"/>
  <c r="M34" i="23"/>
  <c r="L34" i="23"/>
  <c r="K34" i="23"/>
  <c r="J34" i="23"/>
  <c r="P34" i="23" s="1"/>
  <c r="I34" i="23"/>
  <c r="H34" i="23"/>
  <c r="G34" i="23"/>
  <c r="F34" i="23"/>
  <c r="E34" i="23"/>
  <c r="D34" i="23"/>
  <c r="O34" i="23" s="1"/>
  <c r="M33" i="23"/>
  <c r="L33" i="23"/>
  <c r="K33" i="23"/>
  <c r="J33" i="23"/>
  <c r="P33" i="23" s="1"/>
  <c r="I33" i="23"/>
  <c r="H33" i="23"/>
  <c r="G33" i="23"/>
  <c r="F33" i="23"/>
  <c r="E33" i="23"/>
  <c r="D33" i="23"/>
  <c r="O33" i="23" s="1"/>
  <c r="M32" i="23"/>
  <c r="L32" i="23"/>
  <c r="K32" i="23"/>
  <c r="J32" i="23"/>
  <c r="P32" i="23" s="1"/>
  <c r="I32" i="23"/>
  <c r="H32" i="23"/>
  <c r="G32" i="23"/>
  <c r="F32" i="23"/>
  <c r="E32" i="23"/>
  <c r="D32" i="23"/>
  <c r="M31" i="23"/>
  <c r="L31" i="23"/>
  <c r="K31" i="23"/>
  <c r="J31" i="23"/>
  <c r="I31" i="23"/>
  <c r="H31" i="23"/>
  <c r="G31" i="23"/>
  <c r="F31" i="23"/>
  <c r="E31" i="23"/>
  <c r="D31" i="23"/>
  <c r="O31" i="23" s="1"/>
  <c r="M30" i="23"/>
  <c r="L30" i="23"/>
  <c r="K30" i="23"/>
  <c r="J30" i="23"/>
  <c r="P30" i="23" s="1"/>
  <c r="I30" i="23"/>
  <c r="H30" i="23"/>
  <c r="G30" i="23"/>
  <c r="F30" i="23"/>
  <c r="E30" i="23"/>
  <c r="D30" i="23"/>
  <c r="O30" i="23" s="1"/>
  <c r="M29" i="23"/>
  <c r="L29" i="23"/>
  <c r="K29" i="23"/>
  <c r="J29" i="23"/>
  <c r="P29" i="23" s="1"/>
  <c r="I29" i="23"/>
  <c r="H29" i="23"/>
  <c r="G29" i="23"/>
  <c r="F29" i="23"/>
  <c r="E29" i="23"/>
  <c r="D29" i="23"/>
  <c r="O29" i="23" s="1"/>
  <c r="M28" i="23"/>
  <c r="L28" i="23"/>
  <c r="K28" i="23"/>
  <c r="J28" i="23"/>
  <c r="P28" i="23" s="1"/>
  <c r="I28" i="23"/>
  <c r="H28" i="23"/>
  <c r="G28" i="23"/>
  <c r="F28" i="23"/>
  <c r="E28" i="23"/>
  <c r="D28" i="23"/>
  <c r="M27" i="23"/>
  <c r="L27" i="23"/>
  <c r="K27" i="23"/>
  <c r="J27" i="23"/>
  <c r="P27" i="23" s="1"/>
  <c r="I27" i="23"/>
  <c r="H27" i="23"/>
  <c r="G27" i="23"/>
  <c r="F27" i="23"/>
  <c r="E27" i="23"/>
  <c r="D27" i="23"/>
  <c r="O27" i="23" s="1"/>
  <c r="M26" i="23"/>
  <c r="L26" i="23"/>
  <c r="K26" i="23"/>
  <c r="J26" i="23"/>
  <c r="I26" i="23"/>
  <c r="H26" i="23"/>
  <c r="G26" i="23"/>
  <c r="F26" i="23"/>
  <c r="E26" i="23"/>
  <c r="D26" i="23"/>
  <c r="M25" i="23"/>
  <c r="L25" i="23"/>
  <c r="K25" i="23"/>
  <c r="J25" i="23"/>
  <c r="I25" i="23"/>
  <c r="H25" i="23"/>
  <c r="G25" i="23"/>
  <c r="F25" i="23"/>
  <c r="E25" i="23"/>
  <c r="D25" i="23"/>
  <c r="M24" i="23"/>
  <c r="L24" i="23"/>
  <c r="K24" i="23"/>
  <c r="J24" i="23"/>
  <c r="P24" i="23" s="1"/>
  <c r="I24" i="23"/>
  <c r="H24" i="23"/>
  <c r="G24" i="23"/>
  <c r="F24" i="23"/>
  <c r="E24" i="23"/>
  <c r="D24" i="23"/>
  <c r="M23" i="23"/>
  <c r="L23" i="23"/>
  <c r="K23" i="23"/>
  <c r="J23" i="23"/>
  <c r="P23" i="23" s="1"/>
  <c r="I23" i="23"/>
  <c r="H23" i="23"/>
  <c r="G23" i="23"/>
  <c r="F23" i="23"/>
  <c r="E23" i="23"/>
  <c r="D23" i="23"/>
  <c r="O23" i="23" s="1"/>
  <c r="M22" i="23"/>
  <c r="L22" i="23"/>
  <c r="K22" i="23"/>
  <c r="J22" i="23"/>
  <c r="P22" i="23" s="1"/>
  <c r="I22" i="23"/>
  <c r="H22" i="23"/>
  <c r="G22" i="23"/>
  <c r="F22" i="23"/>
  <c r="E22" i="23"/>
  <c r="D22" i="23"/>
  <c r="O22" i="23" s="1"/>
  <c r="M20" i="23"/>
  <c r="L20" i="23"/>
  <c r="K20" i="23"/>
  <c r="J20" i="23"/>
  <c r="P20" i="23" s="1"/>
  <c r="I20" i="23"/>
  <c r="H20" i="23"/>
  <c r="G20" i="23"/>
  <c r="F20" i="23"/>
  <c r="E20" i="23"/>
  <c r="D20" i="23"/>
  <c r="M16" i="23"/>
  <c r="L16" i="23"/>
  <c r="K16" i="23"/>
  <c r="J16" i="23"/>
  <c r="P16" i="23" s="1"/>
  <c r="I16" i="23"/>
  <c r="H16" i="23"/>
  <c r="G16" i="23"/>
  <c r="F16" i="23"/>
  <c r="E16" i="23"/>
  <c r="D16" i="23"/>
  <c r="O16" i="23" s="1"/>
  <c r="M8" i="23"/>
  <c r="L8" i="23"/>
  <c r="K8" i="23"/>
  <c r="J8" i="23"/>
  <c r="P8" i="23" s="1"/>
  <c r="I8" i="23"/>
  <c r="H8" i="23"/>
  <c r="G8" i="23"/>
  <c r="F8" i="23"/>
  <c r="E8" i="23"/>
  <c r="D8" i="23"/>
  <c r="O8" i="23" s="1"/>
  <c r="M141" i="23"/>
  <c r="L141" i="23"/>
  <c r="N138" i="23"/>
  <c r="M138" i="23"/>
  <c r="L138" i="23"/>
  <c r="B114" i="23"/>
  <c r="S89" i="23" s="1"/>
  <c r="F114" i="23" s="1"/>
  <c r="B152" i="23" s="1"/>
  <c r="F76" i="23"/>
  <c r="P41" i="23"/>
  <c r="O41" i="23"/>
  <c r="P40" i="23"/>
  <c r="O40" i="23"/>
  <c r="P39" i="23"/>
  <c r="O39" i="23"/>
  <c r="P38" i="23"/>
  <c r="O38" i="23"/>
  <c r="K48" i="23"/>
  <c r="B62" i="23"/>
  <c r="A49" i="23"/>
  <c r="P21" i="23"/>
  <c r="O21" i="23"/>
  <c r="A48" i="23"/>
  <c r="P19" i="23"/>
  <c r="O18" i="23"/>
  <c r="P17" i="23"/>
  <c r="O17" i="23"/>
  <c r="P15" i="23"/>
  <c r="O14" i="23"/>
  <c r="P13" i="23"/>
  <c r="O13" i="23"/>
  <c r="O12" i="23"/>
  <c r="P12" i="23"/>
  <c r="P11" i="23"/>
  <c r="O10" i="23"/>
  <c r="P9" i="23"/>
  <c r="O9" i="23"/>
  <c r="P7" i="23"/>
  <c r="O7" i="23"/>
  <c r="O6" i="23"/>
  <c r="P5" i="23"/>
  <c r="O5" i="23"/>
  <c r="O4" i="23"/>
  <c r="P4" i="23"/>
  <c r="P3" i="23"/>
  <c r="P2" i="23"/>
  <c r="O2" i="23"/>
  <c r="P42" i="23"/>
  <c r="P89" i="23" s="1"/>
  <c r="P152" i="23" s="1"/>
  <c r="K62" i="23"/>
  <c r="F142" i="22"/>
  <c r="E142" i="22"/>
  <c r="N141" i="22" s="1"/>
  <c r="D142" i="22"/>
  <c r="C142" i="22"/>
  <c r="F141" i="22"/>
  <c r="E141" i="22"/>
  <c r="N140" i="22" s="1"/>
  <c r="D141" i="22"/>
  <c r="M140" i="22" s="1"/>
  <c r="C141" i="22"/>
  <c r="L140" i="22" s="1"/>
  <c r="F140" i="22"/>
  <c r="E140" i="22"/>
  <c r="N139" i="22" s="1"/>
  <c r="D140" i="22"/>
  <c r="M139" i="22" s="1"/>
  <c r="C140" i="22"/>
  <c r="L139" i="22" s="1"/>
  <c r="F139" i="22"/>
  <c r="E139" i="22"/>
  <c r="D139" i="22"/>
  <c r="C139" i="22"/>
  <c r="F138" i="22"/>
  <c r="E138" i="22"/>
  <c r="D138" i="22"/>
  <c r="C138" i="22"/>
  <c r="F135" i="22"/>
  <c r="E135" i="22"/>
  <c r="D135" i="22"/>
  <c r="C135" i="22"/>
  <c r="F134" i="22"/>
  <c r="E134" i="22"/>
  <c r="D134" i="22"/>
  <c r="C134" i="22"/>
  <c r="F133" i="22"/>
  <c r="E133" i="22"/>
  <c r="D133" i="22"/>
  <c r="C133" i="22"/>
  <c r="F132" i="22"/>
  <c r="E132" i="22"/>
  <c r="D132" i="22"/>
  <c r="C132" i="22"/>
  <c r="F130" i="22"/>
  <c r="E130" i="22"/>
  <c r="D130" i="22"/>
  <c r="C130" i="22"/>
  <c r="F126" i="22"/>
  <c r="E126" i="22"/>
  <c r="D126" i="22"/>
  <c r="C126" i="22"/>
  <c r="M41" i="22"/>
  <c r="L41" i="22"/>
  <c r="K41" i="22"/>
  <c r="J41" i="22"/>
  <c r="I41" i="22"/>
  <c r="H41" i="22"/>
  <c r="G41" i="22"/>
  <c r="F41" i="22"/>
  <c r="E41" i="22"/>
  <c r="D41" i="22"/>
  <c r="M40" i="22"/>
  <c r="L40" i="22"/>
  <c r="K40" i="22"/>
  <c r="J40" i="22"/>
  <c r="I40" i="22"/>
  <c r="H40" i="22"/>
  <c r="G40" i="22"/>
  <c r="F40" i="22"/>
  <c r="E40" i="22"/>
  <c r="D40" i="22"/>
  <c r="M39" i="22"/>
  <c r="L39" i="22"/>
  <c r="K39" i="22"/>
  <c r="J39" i="22"/>
  <c r="I39" i="22"/>
  <c r="H39" i="22"/>
  <c r="G39" i="22"/>
  <c r="F39" i="22"/>
  <c r="E39" i="22"/>
  <c r="D39" i="22"/>
  <c r="M38" i="22"/>
  <c r="L38" i="22"/>
  <c r="K38" i="22"/>
  <c r="J38" i="22"/>
  <c r="I38" i="22"/>
  <c r="H38" i="22"/>
  <c r="G38" i="22"/>
  <c r="F38" i="22"/>
  <c r="E38" i="22"/>
  <c r="D38" i="22"/>
  <c r="M37" i="22"/>
  <c r="L37" i="22"/>
  <c r="K37" i="22"/>
  <c r="J37" i="22"/>
  <c r="I37" i="22"/>
  <c r="H37" i="22"/>
  <c r="G37" i="22"/>
  <c r="F37" i="22"/>
  <c r="E37" i="22"/>
  <c r="D37" i="22"/>
  <c r="M36" i="22"/>
  <c r="L36" i="22"/>
  <c r="K36" i="22"/>
  <c r="J36" i="22"/>
  <c r="I36" i="22"/>
  <c r="H36" i="22"/>
  <c r="G36" i="22"/>
  <c r="F36" i="22"/>
  <c r="E36" i="22"/>
  <c r="D36" i="22"/>
  <c r="M35" i="22"/>
  <c r="L35" i="22"/>
  <c r="K35" i="22"/>
  <c r="J35" i="22"/>
  <c r="P35" i="22" s="1"/>
  <c r="I35" i="22"/>
  <c r="H35" i="22"/>
  <c r="G35" i="22"/>
  <c r="F35" i="22"/>
  <c r="E35" i="22"/>
  <c r="D35" i="22"/>
  <c r="O35" i="22" s="1"/>
  <c r="M34" i="22"/>
  <c r="L34" i="22"/>
  <c r="K34" i="22"/>
  <c r="J34" i="22"/>
  <c r="P34" i="22" s="1"/>
  <c r="I34" i="22"/>
  <c r="H34" i="22"/>
  <c r="G34" i="22"/>
  <c r="F34" i="22"/>
  <c r="E34" i="22"/>
  <c r="D34" i="22"/>
  <c r="O34" i="22" s="1"/>
  <c r="M33" i="22"/>
  <c r="L33" i="22"/>
  <c r="K33" i="22"/>
  <c r="J33" i="22"/>
  <c r="P33" i="22" s="1"/>
  <c r="I33" i="22"/>
  <c r="H33" i="22"/>
  <c r="G33" i="22"/>
  <c r="F33" i="22"/>
  <c r="E33" i="22"/>
  <c r="D33" i="22"/>
  <c r="M32" i="22"/>
  <c r="L32" i="22"/>
  <c r="K32" i="22"/>
  <c r="J32" i="22"/>
  <c r="P32" i="22" s="1"/>
  <c r="I32" i="22"/>
  <c r="H32" i="22"/>
  <c r="G32" i="22"/>
  <c r="F32" i="22"/>
  <c r="E32" i="22"/>
  <c r="D32" i="22"/>
  <c r="M31" i="22"/>
  <c r="L31" i="22"/>
  <c r="K31" i="22"/>
  <c r="J31" i="22"/>
  <c r="I31" i="22"/>
  <c r="H31" i="22"/>
  <c r="G31" i="22"/>
  <c r="F31" i="22"/>
  <c r="E31" i="22"/>
  <c r="D31" i="22"/>
  <c r="M30" i="22"/>
  <c r="L30" i="22"/>
  <c r="K30" i="22"/>
  <c r="J30" i="22"/>
  <c r="P30" i="22" s="1"/>
  <c r="I30" i="22"/>
  <c r="H30" i="22"/>
  <c r="G30" i="22"/>
  <c r="F30" i="22"/>
  <c r="E30" i="22"/>
  <c r="D30" i="22"/>
  <c r="O30" i="22" s="1"/>
  <c r="M29" i="22"/>
  <c r="L29" i="22"/>
  <c r="K29" i="22"/>
  <c r="J29" i="22"/>
  <c r="P29" i="22" s="1"/>
  <c r="I29" i="22"/>
  <c r="H29" i="22"/>
  <c r="G29" i="22"/>
  <c r="F29" i="22"/>
  <c r="E29" i="22"/>
  <c r="D29" i="22"/>
  <c r="M28" i="22"/>
  <c r="L28" i="22"/>
  <c r="K28" i="22"/>
  <c r="J28" i="22"/>
  <c r="P28" i="22" s="1"/>
  <c r="I28" i="22"/>
  <c r="H28" i="22"/>
  <c r="G28" i="22"/>
  <c r="F28" i="22"/>
  <c r="E28" i="22"/>
  <c r="D28" i="22"/>
  <c r="M27" i="22"/>
  <c r="L27" i="22"/>
  <c r="K27" i="22"/>
  <c r="J27" i="22"/>
  <c r="P27" i="22" s="1"/>
  <c r="I27" i="22"/>
  <c r="H27" i="22"/>
  <c r="G27" i="22"/>
  <c r="F27" i="22"/>
  <c r="E27" i="22"/>
  <c r="D27" i="22"/>
  <c r="M26" i="22"/>
  <c r="L26" i="22"/>
  <c r="K26" i="22"/>
  <c r="J26" i="22"/>
  <c r="I26" i="22"/>
  <c r="H26" i="22"/>
  <c r="G26" i="22"/>
  <c r="F26" i="22"/>
  <c r="E26" i="22"/>
  <c r="D26" i="22"/>
  <c r="M25" i="22"/>
  <c r="L25" i="22"/>
  <c r="K25" i="22"/>
  <c r="J25" i="22"/>
  <c r="I25" i="22"/>
  <c r="H25" i="22"/>
  <c r="G25" i="22"/>
  <c r="F25" i="22"/>
  <c r="E25" i="22"/>
  <c r="D25" i="22"/>
  <c r="M24" i="22"/>
  <c r="L24" i="22"/>
  <c r="K24" i="22"/>
  <c r="J24" i="22"/>
  <c r="P24" i="22" s="1"/>
  <c r="I24" i="22"/>
  <c r="H24" i="22"/>
  <c r="G24" i="22"/>
  <c r="F24" i="22"/>
  <c r="E24" i="22"/>
  <c r="D24" i="22"/>
  <c r="M23" i="22"/>
  <c r="L23" i="22"/>
  <c r="K23" i="22"/>
  <c r="J23" i="22"/>
  <c r="P23" i="22" s="1"/>
  <c r="I23" i="22"/>
  <c r="H23" i="22"/>
  <c r="G23" i="22"/>
  <c r="F23" i="22"/>
  <c r="E23" i="22"/>
  <c r="D23" i="22"/>
  <c r="O23" i="22" s="1"/>
  <c r="M22" i="22"/>
  <c r="L22" i="22"/>
  <c r="K22" i="22"/>
  <c r="J22" i="22"/>
  <c r="P22" i="22" s="1"/>
  <c r="I22" i="22"/>
  <c r="H22" i="22"/>
  <c r="G22" i="22"/>
  <c r="F22" i="22"/>
  <c r="E22" i="22"/>
  <c r="D22" i="22"/>
  <c r="O22" i="22" s="1"/>
  <c r="M20" i="22"/>
  <c r="L20" i="22"/>
  <c r="K20" i="22"/>
  <c r="J20" i="22"/>
  <c r="P20" i="22" s="1"/>
  <c r="I20" i="22"/>
  <c r="H20" i="22"/>
  <c r="G20" i="22"/>
  <c r="F20" i="22"/>
  <c r="E20" i="22"/>
  <c r="D20" i="22"/>
  <c r="M16" i="22"/>
  <c r="L16" i="22"/>
  <c r="K16" i="22"/>
  <c r="J16" i="22"/>
  <c r="P16" i="22" s="1"/>
  <c r="I16" i="22"/>
  <c r="H16" i="22"/>
  <c r="G16" i="22"/>
  <c r="F16" i="22"/>
  <c r="E16" i="22"/>
  <c r="D16" i="22"/>
  <c r="O16" i="22" s="1"/>
  <c r="M8" i="22"/>
  <c r="L8" i="22"/>
  <c r="K8" i="22"/>
  <c r="J8" i="22"/>
  <c r="P8" i="22" s="1"/>
  <c r="I8" i="22"/>
  <c r="H8" i="22"/>
  <c r="G8" i="22"/>
  <c r="F8" i="22"/>
  <c r="E8" i="22"/>
  <c r="D8" i="22"/>
  <c r="O8" i="22" s="1"/>
  <c r="M141" i="22"/>
  <c r="L141" i="22"/>
  <c r="N138" i="22"/>
  <c r="M138" i="22"/>
  <c r="L138" i="22"/>
  <c r="B114" i="22"/>
  <c r="B89" i="22" s="1"/>
  <c r="B42" i="22" s="1"/>
  <c r="F76" i="22"/>
  <c r="P41" i="22"/>
  <c r="O41" i="22"/>
  <c r="P40" i="22"/>
  <c r="O40" i="22"/>
  <c r="P39" i="22"/>
  <c r="O39" i="22"/>
  <c r="P38" i="22"/>
  <c r="O38" i="22"/>
  <c r="K48" i="22"/>
  <c r="B62" i="22"/>
  <c r="A49" i="22"/>
  <c r="P21" i="22"/>
  <c r="A48" i="22"/>
  <c r="P19" i="22"/>
  <c r="O18" i="22"/>
  <c r="P18" i="22"/>
  <c r="O17" i="22"/>
  <c r="P17" i="22"/>
  <c r="P15" i="22"/>
  <c r="O14" i="22"/>
  <c r="P14" i="22"/>
  <c r="O13" i="22"/>
  <c r="P13" i="22"/>
  <c r="P12" i="22"/>
  <c r="O12" i="22"/>
  <c r="P11" i="22"/>
  <c r="O10" i="22"/>
  <c r="P10" i="22"/>
  <c r="O9" i="22"/>
  <c r="P9" i="22"/>
  <c r="P7" i="22"/>
  <c r="O6" i="22"/>
  <c r="P6" i="22"/>
  <c r="O5" i="22"/>
  <c r="P5" i="22"/>
  <c r="P4" i="22"/>
  <c r="O4" i="22"/>
  <c r="O2" i="22"/>
  <c r="P2" i="22"/>
  <c r="P42" i="22"/>
  <c r="P89" i="22" s="1"/>
  <c r="P152" i="22" s="1"/>
  <c r="A76" i="22"/>
  <c r="F142" i="21"/>
  <c r="D142" i="21"/>
  <c r="M141" i="21" s="1"/>
  <c r="F141" i="21"/>
  <c r="D141" i="21"/>
  <c r="M140" i="21" s="1"/>
  <c r="F140" i="21"/>
  <c r="D140" i="21"/>
  <c r="M139" i="21" s="1"/>
  <c r="F139" i="21"/>
  <c r="D139" i="21"/>
  <c r="F138" i="21"/>
  <c r="D138" i="21"/>
  <c r="F135" i="21"/>
  <c r="D135" i="21"/>
  <c r="F134" i="21"/>
  <c r="D134" i="21"/>
  <c r="F133" i="21"/>
  <c r="D133" i="21"/>
  <c r="F132" i="21"/>
  <c r="D132" i="21"/>
  <c r="F130" i="21"/>
  <c r="D130" i="21"/>
  <c r="F126" i="21"/>
  <c r="D126" i="21"/>
  <c r="M41" i="21"/>
  <c r="L41" i="21"/>
  <c r="K41" i="21"/>
  <c r="J41" i="21"/>
  <c r="I41" i="21"/>
  <c r="H41" i="21"/>
  <c r="G41" i="21"/>
  <c r="F41" i="21"/>
  <c r="E41" i="21"/>
  <c r="D41" i="21"/>
  <c r="M40" i="21"/>
  <c r="L40" i="21"/>
  <c r="K40" i="21"/>
  <c r="J40" i="21"/>
  <c r="I40" i="21"/>
  <c r="H40" i="21"/>
  <c r="G40" i="21"/>
  <c r="F40" i="21"/>
  <c r="E40" i="21"/>
  <c r="D40" i="21"/>
  <c r="M39" i="21"/>
  <c r="L39" i="21"/>
  <c r="K39" i="21"/>
  <c r="J39" i="21"/>
  <c r="I39" i="21"/>
  <c r="H39" i="21"/>
  <c r="G39" i="21"/>
  <c r="F39" i="21"/>
  <c r="E39" i="21"/>
  <c r="D39" i="21"/>
  <c r="M38" i="21"/>
  <c r="L38" i="21"/>
  <c r="K38" i="21"/>
  <c r="J38" i="21"/>
  <c r="I38" i="21"/>
  <c r="H38" i="21"/>
  <c r="G38" i="21"/>
  <c r="F38" i="21"/>
  <c r="E38" i="21"/>
  <c r="D38" i="21"/>
  <c r="M37" i="21"/>
  <c r="L37" i="21"/>
  <c r="K37" i="21"/>
  <c r="J37" i="21"/>
  <c r="P37" i="21" s="1"/>
  <c r="I37" i="21"/>
  <c r="H37" i="21"/>
  <c r="G37" i="21"/>
  <c r="F37" i="21"/>
  <c r="E37" i="21"/>
  <c r="D37" i="21"/>
  <c r="O37" i="21" s="1"/>
  <c r="M36" i="21"/>
  <c r="L36" i="21"/>
  <c r="K36" i="21"/>
  <c r="J36" i="21"/>
  <c r="P36" i="21" s="1"/>
  <c r="I36" i="21"/>
  <c r="H36" i="21"/>
  <c r="G36" i="21"/>
  <c r="F36" i="21"/>
  <c r="E36" i="21"/>
  <c r="D36" i="21"/>
  <c r="M35" i="21"/>
  <c r="L35" i="21"/>
  <c r="K35" i="21"/>
  <c r="J35" i="21"/>
  <c r="P35" i="21" s="1"/>
  <c r="I35" i="21"/>
  <c r="H35" i="21"/>
  <c r="G35" i="21"/>
  <c r="F35" i="21"/>
  <c r="E35" i="21"/>
  <c r="D35" i="21"/>
  <c r="O35" i="21" s="1"/>
  <c r="M34" i="21"/>
  <c r="L34" i="21"/>
  <c r="K34" i="21"/>
  <c r="J34" i="21"/>
  <c r="P34" i="21" s="1"/>
  <c r="I34" i="21"/>
  <c r="H34" i="21"/>
  <c r="G34" i="21"/>
  <c r="F34" i="21"/>
  <c r="E34" i="21"/>
  <c r="D34" i="21"/>
  <c r="O34" i="21" s="1"/>
  <c r="M33" i="21"/>
  <c r="L33" i="21"/>
  <c r="K33" i="21"/>
  <c r="J33" i="21"/>
  <c r="P33" i="21" s="1"/>
  <c r="I33" i="21"/>
  <c r="H33" i="21"/>
  <c r="G33" i="21"/>
  <c r="F33" i="21"/>
  <c r="E33" i="21"/>
  <c r="D33" i="21"/>
  <c r="O33" i="21" s="1"/>
  <c r="M32" i="21"/>
  <c r="L32" i="21"/>
  <c r="K32" i="21"/>
  <c r="J32" i="21"/>
  <c r="P32" i="21" s="1"/>
  <c r="I32" i="21"/>
  <c r="H32" i="21"/>
  <c r="G32" i="21"/>
  <c r="F32" i="21"/>
  <c r="E32" i="21"/>
  <c r="D32" i="21"/>
  <c r="M31" i="21"/>
  <c r="L31" i="21"/>
  <c r="K31" i="21"/>
  <c r="J31" i="21"/>
  <c r="P31" i="21" s="1"/>
  <c r="I31" i="21"/>
  <c r="H31" i="21"/>
  <c r="G31" i="21"/>
  <c r="F31" i="21"/>
  <c r="E31" i="21"/>
  <c r="D31" i="21"/>
  <c r="M30" i="21"/>
  <c r="L30" i="21"/>
  <c r="K30" i="21"/>
  <c r="J30" i="21"/>
  <c r="P30" i="21" s="1"/>
  <c r="I30" i="21"/>
  <c r="H30" i="21"/>
  <c r="G30" i="21"/>
  <c r="F30" i="21"/>
  <c r="E30" i="21"/>
  <c r="D30" i="21"/>
  <c r="O30" i="21" s="1"/>
  <c r="M29" i="21"/>
  <c r="L29" i="21"/>
  <c r="K29" i="21"/>
  <c r="J29" i="21"/>
  <c r="P29" i="21" s="1"/>
  <c r="I29" i="21"/>
  <c r="H29" i="21"/>
  <c r="G29" i="21"/>
  <c r="F29" i="21"/>
  <c r="E29" i="21"/>
  <c r="D29" i="21"/>
  <c r="O29" i="21" s="1"/>
  <c r="M28" i="21"/>
  <c r="L28" i="21"/>
  <c r="K28" i="21"/>
  <c r="J28" i="21"/>
  <c r="P28" i="21" s="1"/>
  <c r="I28" i="21"/>
  <c r="H28" i="21"/>
  <c r="G28" i="21"/>
  <c r="F28" i="21"/>
  <c r="E28" i="21"/>
  <c r="D28" i="21"/>
  <c r="M27" i="21"/>
  <c r="L27" i="21"/>
  <c r="K27" i="21"/>
  <c r="J27" i="21"/>
  <c r="P27" i="21" s="1"/>
  <c r="I27" i="21"/>
  <c r="H27" i="21"/>
  <c r="G27" i="21"/>
  <c r="F27" i="21"/>
  <c r="E27" i="21"/>
  <c r="D27" i="21"/>
  <c r="M26" i="21"/>
  <c r="L26" i="21"/>
  <c r="K26" i="21"/>
  <c r="J26" i="21"/>
  <c r="I26" i="21"/>
  <c r="H26" i="21"/>
  <c r="G26" i="21"/>
  <c r="F26" i="21"/>
  <c r="E26" i="21"/>
  <c r="D26" i="21"/>
  <c r="M25" i="21"/>
  <c r="L25" i="21"/>
  <c r="K25" i="21"/>
  <c r="J25" i="21"/>
  <c r="I25" i="21"/>
  <c r="H25" i="21"/>
  <c r="G25" i="21"/>
  <c r="F25" i="21"/>
  <c r="E25" i="21"/>
  <c r="D25" i="21"/>
  <c r="M24" i="21"/>
  <c r="L24" i="21"/>
  <c r="K24" i="21"/>
  <c r="J24" i="21"/>
  <c r="P24" i="21" s="1"/>
  <c r="I24" i="21"/>
  <c r="H24" i="21"/>
  <c r="G24" i="21"/>
  <c r="F24" i="21"/>
  <c r="E24" i="21"/>
  <c r="D24" i="21"/>
  <c r="M23" i="21"/>
  <c r="L23" i="21"/>
  <c r="K23" i="21"/>
  <c r="J23" i="21"/>
  <c r="P23" i="21" s="1"/>
  <c r="I23" i="21"/>
  <c r="H23" i="21"/>
  <c r="G23" i="21"/>
  <c r="F23" i="21"/>
  <c r="E23" i="21"/>
  <c r="D23" i="21"/>
  <c r="O23" i="21" s="1"/>
  <c r="M22" i="21"/>
  <c r="L22" i="21"/>
  <c r="K22" i="21"/>
  <c r="J22" i="21"/>
  <c r="P22" i="21" s="1"/>
  <c r="I22" i="21"/>
  <c r="H22" i="21"/>
  <c r="G22" i="21"/>
  <c r="F22" i="21"/>
  <c r="E22" i="21"/>
  <c r="D22" i="21"/>
  <c r="O22" i="21" s="1"/>
  <c r="M20" i="21"/>
  <c r="L20" i="21"/>
  <c r="K20" i="21"/>
  <c r="J20" i="21"/>
  <c r="P20" i="21" s="1"/>
  <c r="I20" i="21"/>
  <c r="H20" i="21"/>
  <c r="G20" i="21"/>
  <c r="F20" i="21"/>
  <c r="E20" i="21"/>
  <c r="D20" i="21"/>
  <c r="M16" i="21"/>
  <c r="L16" i="21"/>
  <c r="K16" i="21"/>
  <c r="J16" i="21"/>
  <c r="P16" i="21" s="1"/>
  <c r="I16" i="21"/>
  <c r="H16" i="21"/>
  <c r="G16" i="21"/>
  <c r="F16" i="21"/>
  <c r="E16" i="21"/>
  <c r="D16" i="21"/>
  <c r="O16" i="21" s="1"/>
  <c r="M8" i="21"/>
  <c r="L8" i="21"/>
  <c r="K8" i="21"/>
  <c r="J8" i="21"/>
  <c r="P8" i="21" s="1"/>
  <c r="I8" i="21"/>
  <c r="H8" i="21"/>
  <c r="G8" i="21"/>
  <c r="F8" i="21"/>
  <c r="E8" i="21"/>
  <c r="D8" i="21"/>
  <c r="O8" i="21" s="1"/>
  <c r="L141" i="21"/>
  <c r="N141" i="21"/>
  <c r="N140" i="21"/>
  <c r="L140" i="21"/>
  <c r="N139" i="21"/>
  <c r="L139" i="21"/>
  <c r="N138" i="21"/>
  <c r="M138" i="21"/>
  <c r="L138" i="21"/>
  <c r="B114" i="21"/>
  <c r="S89" i="21" s="1"/>
  <c r="F114" i="21" s="1"/>
  <c r="B152" i="21" s="1"/>
  <c r="F76" i="21"/>
  <c r="P41" i="21"/>
  <c r="O41" i="21"/>
  <c r="P40" i="21"/>
  <c r="O40" i="21"/>
  <c r="P39" i="21"/>
  <c r="O39" i="21"/>
  <c r="P38" i="21"/>
  <c r="O38" i="21"/>
  <c r="K48" i="21"/>
  <c r="P21" i="21"/>
  <c r="O21" i="21"/>
  <c r="A48" i="21"/>
  <c r="P19" i="21"/>
  <c r="O19" i="21"/>
  <c r="O18" i="21"/>
  <c r="P17" i="21"/>
  <c r="O17" i="21"/>
  <c r="P15" i="21"/>
  <c r="O15" i="21"/>
  <c r="O14" i="21"/>
  <c r="P13" i="21"/>
  <c r="O13" i="21"/>
  <c r="O12" i="21"/>
  <c r="P12" i="21"/>
  <c r="P11" i="21"/>
  <c r="O11" i="21"/>
  <c r="O10" i="21"/>
  <c r="P9" i="21"/>
  <c r="O9" i="21"/>
  <c r="P7" i="21"/>
  <c r="O7" i="21"/>
  <c r="O6" i="21"/>
  <c r="P5" i="21"/>
  <c r="O5" i="21"/>
  <c r="O4" i="21"/>
  <c r="P4" i="21"/>
  <c r="P3" i="21"/>
  <c r="O3" i="21"/>
  <c r="O2" i="21"/>
  <c r="P42" i="21"/>
  <c r="P89" i="21" s="1"/>
  <c r="P152" i="21" s="1"/>
  <c r="A49" i="21"/>
  <c r="F142" i="20"/>
  <c r="E142" i="20"/>
  <c r="N141" i="20" s="1"/>
  <c r="D142" i="20"/>
  <c r="M141" i="20" s="1"/>
  <c r="C142" i="20"/>
  <c r="L141" i="20" s="1"/>
  <c r="F141" i="20"/>
  <c r="E141" i="20"/>
  <c r="N140" i="20" s="1"/>
  <c r="D141" i="20"/>
  <c r="M140" i="20" s="1"/>
  <c r="C141" i="20"/>
  <c r="L140" i="20" s="1"/>
  <c r="F140" i="20"/>
  <c r="E140" i="20"/>
  <c r="N139" i="20" s="1"/>
  <c r="D140" i="20"/>
  <c r="M139" i="20" s="1"/>
  <c r="C140" i="20"/>
  <c r="L139" i="20" s="1"/>
  <c r="F139" i="20"/>
  <c r="E139" i="20"/>
  <c r="D139" i="20"/>
  <c r="C139" i="20"/>
  <c r="F138" i="20"/>
  <c r="E138" i="20"/>
  <c r="D138" i="20"/>
  <c r="C138" i="20"/>
  <c r="F135" i="20"/>
  <c r="E135" i="20"/>
  <c r="D135" i="20"/>
  <c r="C135" i="20"/>
  <c r="F134" i="20"/>
  <c r="E134" i="20"/>
  <c r="D134" i="20"/>
  <c r="C134" i="20"/>
  <c r="F133" i="20"/>
  <c r="E133" i="20"/>
  <c r="D133" i="20"/>
  <c r="C133" i="20"/>
  <c r="F132" i="20"/>
  <c r="E132" i="20"/>
  <c r="D132" i="20"/>
  <c r="C132" i="20"/>
  <c r="F130" i="20"/>
  <c r="E130" i="20"/>
  <c r="D130" i="20"/>
  <c r="C130" i="20"/>
  <c r="F126" i="20"/>
  <c r="E126" i="20"/>
  <c r="D126" i="20"/>
  <c r="C126" i="20"/>
  <c r="M41" i="20"/>
  <c r="L41" i="20"/>
  <c r="K41" i="20"/>
  <c r="J41" i="20"/>
  <c r="I41" i="20"/>
  <c r="H41" i="20"/>
  <c r="G41" i="20"/>
  <c r="F41" i="20"/>
  <c r="E41" i="20"/>
  <c r="D41" i="20"/>
  <c r="M40" i="20"/>
  <c r="L40" i="20"/>
  <c r="K40" i="20"/>
  <c r="J40" i="20"/>
  <c r="I40" i="20"/>
  <c r="H40" i="20"/>
  <c r="G40" i="20"/>
  <c r="F40" i="20"/>
  <c r="E40" i="20"/>
  <c r="D40" i="20"/>
  <c r="M39" i="20"/>
  <c r="L39" i="20"/>
  <c r="K39" i="20"/>
  <c r="J39" i="20"/>
  <c r="I39" i="20"/>
  <c r="H39" i="20"/>
  <c r="G39" i="20"/>
  <c r="F39" i="20"/>
  <c r="E39" i="20"/>
  <c r="D39" i="20"/>
  <c r="M38" i="20"/>
  <c r="L38" i="20"/>
  <c r="K38" i="20"/>
  <c r="J38" i="20"/>
  <c r="I38" i="20"/>
  <c r="H38" i="20"/>
  <c r="G38" i="20"/>
  <c r="F38" i="20"/>
  <c r="E38" i="20"/>
  <c r="D38" i="20"/>
  <c r="M37" i="20"/>
  <c r="L37" i="20"/>
  <c r="K37" i="20"/>
  <c r="J37" i="20"/>
  <c r="P37" i="20" s="1"/>
  <c r="I37" i="20"/>
  <c r="H37" i="20"/>
  <c r="G37" i="20"/>
  <c r="F37" i="20"/>
  <c r="E37" i="20"/>
  <c r="D37" i="20"/>
  <c r="O37" i="20" s="1"/>
  <c r="M36" i="20"/>
  <c r="L36" i="20"/>
  <c r="K36" i="20"/>
  <c r="J36" i="20"/>
  <c r="P36" i="20" s="1"/>
  <c r="I36" i="20"/>
  <c r="H36" i="20"/>
  <c r="G36" i="20"/>
  <c r="F36" i="20"/>
  <c r="E36" i="20"/>
  <c r="D36" i="20"/>
  <c r="M35" i="20"/>
  <c r="L35" i="20"/>
  <c r="K35" i="20"/>
  <c r="J35" i="20"/>
  <c r="P35" i="20" s="1"/>
  <c r="I35" i="20"/>
  <c r="H35" i="20"/>
  <c r="G35" i="20"/>
  <c r="F35" i="20"/>
  <c r="E35" i="20"/>
  <c r="D35" i="20"/>
  <c r="O35" i="20" s="1"/>
  <c r="M34" i="20"/>
  <c r="L34" i="20"/>
  <c r="K34" i="20"/>
  <c r="J34" i="20"/>
  <c r="P34" i="20" s="1"/>
  <c r="I34" i="20"/>
  <c r="H34" i="20"/>
  <c r="G34" i="20"/>
  <c r="F34" i="20"/>
  <c r="E34" i="20"/>
  <c r="D34" i="20"/>
  <c r="M33" i="20"/>
  <c r="L33" i="20"/>
  <c r="K33" i="20"/>
  <c r="J33" i="20"/>
  <c r="P33" i="20" s="1"/>
  <c r="I33" i="20"/>
  <c r="H33" i="20"/>
  <c r="G33" i="20"/>
  <c r="F33" i="20"/>
  <c r="E33" i="20"/>
  <c r="D33" i="20"/>
  <c r="O33" i="20" s="1"/>
  <c r="M32" i="20"/>
  <c r="L32" i="20"/>
  <c r="K32" i="20"/>
  <c r="J32" i="20"/>
  <c r="P32" i="20" s="1"/>
  <c r="I32" i="20"/>
  <c r="H32" i="20"/>
  <c r="G32" i="20"/>
  <c r="F32" i="20"/>
  <c r="E32" i="20"/>
  <c r="D32" i="20"/>
  <c r="M31" i="20"/>
  <c r="L31" i="20"/>
  <c r="K31" i="20"/>
  <c r="J31" i="20"/>
  <c r="P31" i="20" s="1"/>
  <c r="I31" i="20"/>
  <c r="H31" i="20"/>
  <c r="G31" i="20"/>
  <c r="F31" i="20"/>
  <c r="E31" i="20"/>
  <c r="D31" i="20"/>
  <c r="M30" i="20"/>
  <c r="L30" i="20"/>
  <c r="K30" i="20"/>
  <c r="J30" i="20"/>
  <c r="P30" i="20" s="1"/>
  <c r="I30" i="20"/>
  <c r="H30" i="20"/>
  <c r="G30" i="20"/>
  <c r="F30" i="20"/>
  <c r="E30" i="20"/>
  <c r="D30" i="20"/>
  <c r="M29" i="20"/>
  <c r="L29" i="20"/>
  <c r="K29" i="20"/>
  <c r="J29" i="20"/>
  <c r="P29" i="20" s="1"/>
  <c r="I29" i="20"/>
  <c r="H29" i="20"/>
  <c r="G29" i="20"/>
  <c r="F29" i="20"/>
  <c r="E29" i="20"/>
  <c r="D29" i="20"/>
  <c r="O29" i="20" s="1"/>
  <c r="M28" i="20"/>
  <c r="L28" i="20"/>
  <c r="K28" i="20"/>
  <c r="J28" i="20"/>
  <c r="P28" i="20" s="1"/>
  <c r="I28" i="20"/>
  <c r="H28" i="20"/>
  <c r="G28" i="20"/>
  <c r="F28" i="20"/>
  <c r="E28" i="20"/>
  <c r="D28" i="20"/>
  <c r="M27" i="20"/>
  <c r="L27" i="20"/>
  <c r="K27" i="20"/>
  <c r="J27" i="20"/>
  <c r="P27" i="20" s="1"/>
  <c r="I27" i="20"/>
  <c r="H27" i="20"/>
  <c r="G27" i="20"/>
  <c r="F27" i="20"/>
  <c r="E27" i="20"/>
  <c r="D27" i="20"/>
  <c r="O27" i="20" s="1"/>
  <c r="M26" i="20"/>
  <c r="L26" i="20"/>
  <c r="K26" i="20"/>
  <c r="J26" i="20"/>
  <c r="I26" i="20"/>
  <c r="H26" i="20"/>
  <c r="G26" i="20"/>
  <c r="F26" i="20"/>
  <c r="E26" i="20"/>
  <c r="D26" i="20"/>
  <c r="M25" i="20"/>
  <c r="L25" i="20"/>
  <c r="K25" i="20"/>
  <c r="J25" i="20"/>
  <c r="I25" i="20"/>
  <c r="H25" i="20"/>
  <c r="G25" i="20"/>
  <c r="F25" i="20"/>
  <c r="E25" i="20"/>
  <c r="D25" i="20"/>
  <c r="M24" i="20"/>
  <c r="L24" i="20"/>
  <c r="K24" i="20"/>
  <c r="J24" i="20"/>
  <c r="P24" i="20" s="1"/>
  <c r="I24" i="20"/>
  <c r="H24" i="20"/>
  <c r="G24" i="20"/>
  <c r="F24" i="20"/>
  <c r="E24" i="20"/>
  <c r="D24" i="20"/>
  <c r="M23" i="20"/>
  <c r="L23" i="20"/>
  <c r="K23" i="20"/>
  <c r="J23" i="20"/>
  <c r="P23" i="20" s="1"/>
  <c r="I23" i="20"/>
  <c r="H23" i="20"/>
  <c r="G23" i="20"/>
  <c r="F23" i="20"/>
  <c r="E23" i="20"/>
  <c r="D23" i="20"/>
  <c r="O23" i="20" s="1"/>
  <c r="M22" i="20"/>
  <c r="L22" i="20"/>
  <c r="K22" i="20"/>
  <c r="J22" i="20"/>
  <c r="P22" i="20" s="1"/>
  <c r="I22" i="20"/>
  <c r="H22" i="20"/>
  <c r="G22" i="20"/>
  <c r="F22" i="20"/>
  <c r="E22" i="20"/>
  <c r="D22" i="20"/>
  <c r="M20" i="20"/>
  <c r="L20" i="20"/>
  <c r="K20" i="20"/>
  <c r="J20" i="20"/>
  <c r="P20" i="20" s="1"/>
  <c r="I20" i="20"/>
  <c r="H20" i="20"/>
  <c r="G20" i="20"/>
  <c r="F20" i="20"/>
  <c r="E20" i="20"/>
  <c r="D20" i="20"/>
  <c r="M16" i="20"/>
  <c r="L16" i="20"/>
  <c r="K16" i="20"/>
  <c r="J16" i="20"/>
  <c r="P16" i="20" s="1"/>
  <c r="I16" i="20"/>
  <c r="H16" i="20"/>
  <c r="G16" i="20"/>
  <c r="F16" i="20"/>
  <c r="E16" i="20"/>
  <c r="D16" i="20"/>
  <c r="O16" i="20" s="1"/>
  <c r="M8" i="20"/>
  <c r="L8" i="20"/>
  <c r="K8" i="20"/>
  <c r="J8" i="20"/>
  <c r="P8" i="20" s="1"/>
  <c r="I8" i="20"/>
  <c r="H8" i="20"/>
  <c r="G8" i="20"/>
  <c r="F8" i="20"/>
  <c r="E8" i="20"/>
  <c r="D8" i="20"/>
  <c r="O8" i="20" s="1"/>
  <c r="N138" i="20"/>
  <c r="M138" i="20"/>
  <c r="L138" i="20"/>
  <c r="B114" i="20"/>
  <c r="S89" i="20" s="1"/>
  <c r="F114" i="20" s="1"/>
  <c r="B152" i="20" s="1"/>
  <c r="A76" i="20"/>
  <c r="P41" i="20"/>
  <c r="O41" i="20"/>
  <c r="P40" i="20"/>
  <c r="O40" i="20"/>
  <c r="P39" i="20"/>
  <c r="O39" i="20"/>
  <c r="P38" i="20"/>
  <c r="O38" i="20"/>
  <c r="K48" i="20"/>
  <c r="B62" i="20"/>
  <c r="A49" i="20"/>
  <c r="P21" i="20"/>
  <c r="O21" i="20"/>
  <c r="A48" i="20"/>
  <c r="P19" i="20"/>
  <c r="O19" i="20"/>
  <c r="O18" i="20"/>
  <c r="P17" i="20"/>
  <c r="O17" i="20"/>
  <c r="P15" i="20"/>
  <c r="O15" i="20"/>
  <c r="O14" i="20"/>
  <c r="P13" i="20"/>
  <c r="O13" i="20"/>
  <c r="O12" i="20"/>
  <c r="P12" i="20"/>
  <c r="P11" i="20"/>
  <c r="O11" i="20"/>
  <c r="O10" i="20"/>
  <c r="P9" i="20"/>
  <c r="O9" i="20"/>
  <c r="P7" i="20"/>
  <c r="O7" i="20"/>
  <c r="O6" i="20"/>
  <c r="P5" i="20"/>
  <c r="O5" i="20"/>
  <c r="O4" i="20"/>
  <c r="P4" i="20"/>
  <c r="P3" i="20"/>
  <c r="O3" i="20"/>
  <c r="P2" i="20"/>
  <c r="O2" i="20"/>
  <c r="P42" i="20"/>
  <c r="P89" i="20" s="1"/>
  <c r="P152" i="20" s="1"/>
  <c r="F76" i="20"/>
  <c r="F142" i="19"/>
  <c r="E142" i="19"/>
  <c r="N141" i="19" s="1"/>
  <c r="D142" i="19"/>
  <c r="M141" i="19" s="1"/>
  <c r="C142" i="19"/>
  <c r="L141" i="19" s="1"/>
  <c r="F141" i="19"/>
  <c r="E141" i="19"/>
  <c r="N140" i="19" s="1"/>
  <c r="D141" i="19"/>
  <c r="M140" i="19" s="1"/>
  <c r="C141" i="19"/>
  <c r="L140" i="19" s="1"/>
  <c r="F140" i="19"/>
  <c r="E140" i="19"/>
  <c r="N139" i="19" s="1"/>
  <c r="D140" i="19"/>
  <c r="M139" i="19" s="1"/>
  <c r="C140" i="19"/>
  <c r="L139" i="19" s="1"/>
  <c r="F139" i="19"/>
  <c r="E139" i="19"/>
  <c r="D139" i="19"/>
  <c r="C139" i="19"/>
  <c r="F138" i="19"/>
  <c r="E138" i="19"/>
  <c r="D138" i="19"/>
  <c r="C138" i="19"/>
  <c r="F135" i="19"/>
  <c r="E135" i="19"/>
  <c r="D135" i="19"/>
  <c r="C135" i="19"/>
  <c r="F134" i="19"/>
  <c r="E134" i="19"/>
  <c r="D134" i="19"/>
  <c r="C134" i="19"/>
  <c r="F133" i="19"/>
  <c r="E133" i="19"/>
  <c r="D133" i="19"/>
  <c r="C133" i="19"/>
  <c r="F132" i="19"/>
  <c r="E132" i="19"/>
  <c r="D132" i="19"/>
  <c r="C132" i="19"/>
  <c r="F130" i="19"/>
  <c r="E130" i="19"/>
  <c r="D130" i="19"/>
  <c r="C130" i="19"/>
  <c r="F126" i="19"/>
  <c r="E126" i="19"/>
  <c r="D126" i="19"/>
  <c r="C126" i="19"/>
  <c r="M41" i="19"/>
  <c r="L41" i="19"/>
  <c r="K41" i="19"/>
  <c r="J41" i="19"/>
  <c r="I41" i="19"/>
  <c r="H41" i="19"/>
  <c r="G41" i="19"/>
  <c r="F41" i="19"/>
  <c r="E41" i="19"/>
  <c r="D41" i="19"/>
  <c r="M40" i="19"/>
  <c r="L40" i="19"/>
  <c r="K40" i="19"/>
  <c r="J40" i="19"/>
  <c r="I40" i="19"/>
  <c r="H40" i="19"/>
  <c r="G40" i="19"/>
  <c r="F40" i="19"/>
  <c r="E40" i="19"/>
  <c r="D40" i="19"/>
  <c r="M39" i="19"/>
  <c r="L39" i="19"/>
  <c r="K39" i="19"/>
  <c r="J39" i="19"/>
  <c r="I39" i="19"/>
  <c r="H39" i="19"/>
  <c r="G39" i="19"/>
  <c r="F39" i="19"/>
  <c r="E39" i="19"/>
  <c r="D39" i="19"/>
  <c r="M38" i="19"/>
  <c r="L38" i="19"/>
  <c r="K38" i="19"/>
  <c r="J38" i="19"/>
  <c r="I38" i="19"/>
  <c r="H38" i="19"/>
  <c r="G38" i="19"/>
  <c r="F38" i="19"/>
  <c r="E38" i="19"/>
  <c r="D38" i="19"/>
  <c r="M37" i="19"/>
  <c r="L37" i="19"/>
  <c r="K37" i="19"/>
  <c r="J37" i="19"/>
  <c r="P37" i="19" s="1"/>
  <c r="I37" i="19"/>
  <c r="H37" i="19"/>
  <c r="G37" i="19"/>
  <c r="F37" i="19"/>
  <c r="E37" i="19"/>
  <c r="D37" i="19"/>
  <c r="O37" i="19" s="1"/>
  <c r="M36" i="19"/>
  <c r="L36" i="19"/>
  <c r="K36" i="19"/>
  <c r="J36" i="19"/>
  <c r="P36" i="19" s="1"/>
  <c r="I36" i="19"/>
  <c r="H36" i="19"/>
  <c r="G36" i="19"/>
  <c r="F36" i="19"/>
  <c r="E36" i="19"/>
  <c r="D36" i="19"/>
  <c r="M35" i="19"/>
  <c r="L35" i="19"/>
  <c r="K35" i="19"/>
  <c r="J35" i="19"/>
  <c r="P35" i="19" s="1"/>
  <c r="I35" i="19"/>
  <c r="H35" i="19"/>
  <c r="G35" i="19"/>
  <c r="F35" i="19"/>
  <c r="E35" i="19"/>
  <c r="D35" i="19"/>
  <c r="O35" i="19" s="1"/>
  <c r="M34" i="19"/>
  <c r="L34" i="19"/>
  <c r="K34" i="19"/>
  <c r="J34" i="19"/>
  <c r="P34" i="19" s="1"/>
  <c r="I34" i="19"/>
  <c r="H34" i="19"/>
  <c r="G34" i="19"/>
  <c r="F34" i="19"/>
  <c r="E34" i="19"/>
  <c r="D34" i="19"/>
  <c r="M33" i="19"/>
  <c r="L33" i="19"/>
  <c r="K33" i="19"/>
  <c r="J33" i="19"/>
  <c r="P33" i="19" s="1"/>
  <c r="I33" i="19"/>
  <c r="H33" i="19"/>
  <c r="G33" i="19"/>
  <c r="F33" i="19"/>
  <c r="E33" i="19"/>
  <c r="D33" i="19"/>
  <c r="O33" i="19" s="1"/>
  <c r="M32" i="19"/>
  <c r="L32" i="19"/>
  <c r="K32" i="19"/>
  <c r="J32" i="19"/>
  <c r="P32" i="19" s="1"/>
  <c r="I32" i="19"/>
  <c r="H32" i="19"/>
  <c r="G32" i="19"/>
  <c r="F32" i="19"/>
  <c r="E32" i="19"/>
  <c r="D32" i="19"/>
  <c r="M31" i="19"/>
  <c r="L31" i="19"/>
  <c r="K31" i="19"/>
  <c r="J31" i="19"/>
  <c r="P31" i="19" s="1"/>
  <c r="I31" i="19"/>
  <c r="H31" i="19"/>
  <c r="G31" i="19"/>
  <c r="F31" i="19"/>
  <c r="E31" i="19"/>
  <c r="D31" i="19"/>
  <c r="M30" i="19"/>
  <c r="L30" i="19"/>
  <c r="K30" i="19"/>
  <c r="J30" i="19"/>
  <c r="P30" i="19" s="1"/>
  <c r="I30" i="19"/>
  <c r="H30" i="19"/>
  <c r="G30" i="19"/>
  <c r="F30" i="19"/>
  <c r="E30" i="19"/>
  <c r="D30" i="19"/>
  <c r="M29" i="19"/>
  <c r="L29" i="19"/>
  <c r="K29" i="19"/>
  <c r="J29" i="19"/>
  <c r="P29" i="19" s="1"/>
  <c r="I29" i="19"/>
  <c r="H29" i="19"/>
  <c r="G29" i="19"/>
  <c r="F29" i="19"/>
  <c r="E29" i="19"/>
  <c r="D29" i="19"/>
  <c r="O29" i="19" s="1"/>
  <c r="M28" i="19"/>
  <c r="L28" i="19"/>
  <c r="K28" i="19"/>
  <c r="J28" i="19"/>
  <c r="P28" i="19" s="1"/>
  <c r="I28" i="19"/>
  <c r="H28" i="19"/>
  <c r="G28" i="19"/>
  <c r="F28" i="19"/>
  <c r="E28" i="19"/>
  <c r="D28" i="19"/>
  <c r="M27" i="19"/>
  <c r="L27" i="19"/>
  <c r="K27" i="19"/>
  <c r="J27" i="19"/>
  <c r="P27" i="19" s="1"/>
  <c r="I27" i="19"/>
  <c r="H27" i="19"/>
  <c r="G27" i="19"/>
  <c r="F27" i="19"/>
  <c r="E27" i="19"/>
  <c r="D27" i="19"/>
  <c r="O27" i="19" s="1"/>
  <c r="M26" i="19"/>
  <c r="L26" i="19"/>
  <c r="K26" i="19"/>
  <c r="J26" i="19"/>
  <c r="I26" i="19"/>
  <c r="H26" i="19"/>
  <c r="G26" i="19"/>
  <c r="F26" i="19"/>
  <c r="E26" i="19"/>
  <c r="D26" i="19"/>
  <c r="M25" i="19"/>
  <c r="L25" i="19"/>
  <c r="K25" i="19"/>
  <c r="J25" i="19"/>
  <c r="I25" i="19"/>
  <c r="H25" i="19"/>
  <c r="G25" i="19"/>
  <c r="F25" i="19"/>
  <c r="E25" i="19"/>
  <c r="D25" i="19"/>
  <c r="M24" i="19"/>
  <c r="L24" i="19"/>
  <c r="K24" i="19"/>
  <c r="J24" i="19"/>
  <c r="P24" i="19" s="1"/>
  <c r="I24" i="19"/>
  <c r="H24" i="19"/>
  <c r="G24" i="19"/>
  <c r="F24" i="19"/>
  <c r="E24" i="19"/>
  <c r="D24" i="19"/>
  <c r="M23" i="19"/>
  <c r="L23" i="19"/>
  <c r="K23" i="19"/>
  <c r="J23" i="19"/>
  <c r="P23" i="19" s="1"/>
  <c r="I23" i="19"/>
  <c r="H23" i="19"/>
  <c r="G23" i="19"/>
  <c r="F23" i="19"/>
  <c r="E23" i="19"/>
  <c r="D23" i="19"/>
  <c r="O23" i="19" s="1"/>
  <c r="M22" i="19"/>
  <c r="L22" i="19"/>
  <c r="K22" i="19"/>
  <c r="J22" i="19"/>
  <c r="P22" i="19" s="1"/>
  <c r="I22" i="19"/>
  <c r="H22" i="19"/>
  <c r="G22" i="19"/>
  <c r="F22" i="19"/>
  <c r="E22" i="19"/>
  <c r="D22" i="19"/>
  <c r="M20" i="19"/>
  <c r="L20" i="19"/>
  <c r="K20" i="19"/>
  <c r="J20" i="19"/>
  <c r="P20" i="19" s="1"/>
  <c r="I20" i="19"/>
  <c r="H20" i="19"/>
  <c r="G20" i="19"/>
  <c r="F20" i="19"/>
  <c r="E20" i="19"/>
  <c r="D20" i="19"/>
  <c r="M16" i="19"/>
  <c r="L16" i="19"/>
  <c r="K16" i="19"/>
  <c r="J16" i="19"/>
  <c r="P16" i="19" s="1"/>
  <c r="I16" i="19"/>
  <c r="H16" i="19"/>
  <c r="G16" i="19"/>
  <c r="F16" i="19"/>
  <c r="E16" i="19"/>
  <c r="D16" i="19"/>
  <c r="O16" i="19" s="1"/>
  <c r="M8" i="19"/>
  <c r="L8" i="19"/>
  <c r="K8" i="19"/>
  <c r="J8" i="19"/>
  <c r="P8" i="19" s="1"/>
  <c r="I8" i="19"/>
  <c r="H8" i="19"/>
  <c r="G8" i="19"/>
  <c r="F8" i="19"/>
  <c r="E8" i="19"/>
  <c r="D8" i="19"/>
  <c r="O8" i="19" s="1"/>
  <c r="N138" i="19"/>
  <c r="M138" i="19"/>
  <c r="L138" i="19"/>
  <c r="B114" i="19"/>
  <c r="S89" i="19" s="1"/>
  <c r="F114" i="19" s="1"/>
  <c r="B152" i="19" s="1"/>
  <c r="A76" i="19"/>
  <c r="P41" i="19"/>
  <c r="O41" i="19"/>
  <c r="P40" i="19"/>
  <c r="O40" i="19"/>
  <c r="P39" i="19"/>
  <c r="O39" i="19"/>
  <c r="P38" i="19"/>
  <c r="O38" i="19"/>
  <c r="K48" i="19"/>
  <c r="A49" i="19"/>
  <c r="P21" i="19"/>
  <c r="O21" i="19"/>
  <c r="A48" i="19"/>
  <c r="P19" i="19"/>
  <c r="O19" i="19"/>
  <c r="O18" i="19"/>
  <c r="O17" i="19"/>
  <c r="P17" i="19"/>
  <c r="P15" i="19"/>
  <c r="O15" i="19"/>
  <c r="O14" i="19"/>
  <c r="O13" i="19"/>
  <c r="P13" i="19"/>
  <c r="O12" i="19"/>
  <c r="P12" i="19"/>
  <c r="P11" i="19"/>
  <c r="O11" i="19"/>
  <c r="O10" i="19"/>
  <c r="P9" i="19"/>
  <c r="O9" i="19"/>
  <c r="P7" i="19"/>
  <c r="O7" i="19"/>
  <c r="O6" i="19"/>
  <c r="P5" i="19"/>
  <c r="O5" i="19"/>
  <c r="O4" i="19"/>
  <c r="P4" i="19"/>
  <c r="P3" i="19"/>
  <c r="O3" i="19"/>
  <c r="O2" i="19"/>
  <c r="P42" i="19"/>
  <c r="P89" i="19" s="1"/>
  <c r="P152" i="19" s="1"/>
  <c r="F76" i="19"/>
  <c r="F142" i="18"/>
  <c r="E142" i="18"/>
  <c r="N141" i="18" s="1"/>
  <c r="D142" i="18"/>
  <c r="M141" i="18" s="1"/>
  <c r="C142" i="18"/>
  <c r="L141" i="18" s="1"/>
  <c r="F141" i="18"/>
  <c r="E141" i="18"/>
  <c r="N140" i="18" s="1"/>
  <c r="D141" i="18"/>
  <c r="M140" i="18" s="1"/>
  <c r="C141" i="18"/>
  <c r="L140" i="18" s="1"/>
  <c r="F140" i="18"/>
  <c r="E140" i="18"/>
  <c r="N139" i="18" s="1"/>
  <c r="D140" i="18"/>
  <c r="M139" i="18" s="1"/>
  <c r="C140" i="18"/>
  <c r="L139" i="18" s="1"/>
  <c r="F139" i="18"/>
  <c r="E139" i="18"/>
  <c r="D139" i="18"/>
  <c r="C139" i="18"/>
  <c r="F138" i="18"/>
  <c r="E138" i="18"/>
  <c r="D138" i="18"/>
  <c r="C138" i="18"/>
  <c r="F135" i="18"/>
  <c r="E135" i="18"/>
  <c r="D135" i="18"/>
  <c r="C135" i="18"/>
  <c r="F134" i="18"/>
  <c r="E134" i="18"/>
  <c r="D134" i="18"/>
  <c r="C134" i="18"/>
  <c r="F133" i="18"/>
  <c r="E133" i="18"/>
  <c r="D133" i="18"/>
  <c r="C133" i="18"/>
  <c r="F132" i="18"/>
  <c r="E132" i="18"/>
  <c r="D132" i="18"/>
  <c r="C132" i="18"/>
  <c r="F130" i="18"/>
  <c r="E130" i="18"/>
  <c r="D130" i="18"/>
  <c r="C130" i="18"/>
  <c r="F126" i="18"/>
  <c r="E126" i="18"/>
  <c r="D126" i="18"/>
  <c r="C126" i="18"/>
  <c r="M41" i="18"/>
  <c r="L41" i="18"/>
  <c r="K41" i="18"/>
  <c r="J41" i="18"/>
  <c r="I41" i="18"/>
  <c r="H41" i="18"/>
  <c r="G41" i="18"/>
  <c r="F41" i="18"/>
  <c r="E41" i="18"/>
  <c r="D41" i="18"/>
  <c r="M40" i="18"/>
  <c r="L40" i="18"/>
  <c r="K40" i="18"/>
  <c r="J40" i="18"/>
  <c r="I40" i="18"/>
  <c r="H40" i="18"/>
  <c r="G40" i="18"/>
  <c r="F40" i="18"/>
  <c r="E40" i="18"/>
  <c r="D40" i="18"/>
  <c r="M39" i="18"/>
  <c r="L39" i="18"/>
  <c r="K39" i="18"/>
  <c r="J39" i="18"/>
  <c r="I39" i="18"/>
  <c r="H39" i="18"/>
  <c r="G39" i="18"/>
  <c r="F39" i="18"/>
  <c r="E39" i="18"/>
  <c r="D39" i="18"/>
  <c r="M38" i="18"/>
  <c r="L38" i="18"/>
  <c r="K38" i="18"/>
  <c r="J38" i="18"/>
  <c r="I38" i="18"/>
  <c r="H38" i="18"/>
  <c r="G38" i="18"/>
  <c r="F38" i="18"/>
  <c r="E38" i="18"/>
  <c r="D38" i="18"/>
  <c r="M37" i="18"/>
  <c r="L37" i="18"/>
  <c r="K37" i="18"/>
  <c r="J37" i="18"/>
  <c r="P37" i="18" s="1"/>
  <c r="I37" i="18"/>
  <c r="H37" i="18"/>
  <c r="G37" i="18"/>
  <c r="F37" i="18"/>
  <c r="E37" i="18"/>
  <c r="D37" i="18"/>
  <c r="O37" i="18" s="1"/>
  <c r="M36" i="18"/>
  <c r="L36" i="18"/>
  <c r="K36" i="18"/>
  <c r="J36" i="18"/>
  <c r="P36" i="18" s="1"/>
  <c r="I36" i="18"/>
  <c r="H36" i="18"/>
  <c r="G36" i="18"/>
  <c r="F36" i="18"/>
  <c r="E36" i="18"/>
  <c r="D36" i="18"/>
  <c r="M35" i="18"/>
  <c r="L35" i="18"/>
  <c r="K35" i="18"/>
  <c r="J35" i="18"/>
  <c r="P35" i="18" s="1"/>
  <c r="I35" i="18"/>
  <c r="H35" i="18"/>
  <c r="G35" i="18"/>
  <c r="F35" i="18"/>
  <c r="E35" i="18"/>
  <c r="D35" i="18"/>
  <c r="O35" i="18" s="1"/>
  <c r="M34" i="18"/>
  <c r="L34" i="18"/>
  <c r="K34" i="18"/>
  <c r="J34" i="18"/>
  <c r="P34" i="18" s="1"/>
  <c r="I34" i="18"/>
  <c r="H34" i="18"/>
  <c r="G34" i="18"/>
  <c r="F34" i="18"/>
  <c r="E34" i="18"/>
  <c r="D34" i="18"/>
  <c r="O34" i="18" s="1"/>
  <c r="M33" i="18"/>
  <c r="L33" i="18"/>
  <c r="K33" i="18"/>
  <c r="J33" i="18"/>
  <c r="P33" i="18" s="1"/>
  <c r="I33" i="18"/>
  <c r="H33" i="18"/>
  <c r="G33" i="18"/>
  <c r="F33" i="18"/>
  <c r="E33" i="18"/>
  <c r="D33" i="18"/>
  <c r="O33" i="18" s="1"/>
  <c r="M32" i="18"/>
  <c r="L32" i="18"/>
  <c r="K32" i="18"/>
  <c r="J32" i="18"/>
  <c r="P32" i="18" s="1"/>
  <c r="I32" i="18"/>
  <c r="H32" i="18"/>
  <c r="G32" i="18"/>
  <c r="F32" i="18"/>
  <c r="E32" i="18"/>
  <c r="D32" i="18"/>
  <c r="M31" i="18"/>
  <c r="L31" i="18"/>
  <c r="K31" i="18"/>
  <c r="J31" i="18"/>
  <c r="P31" i="18" s="1"/>
  <c r="I31" i="18"/>
  <c r="H31" i="18"/>
  <c r="G31" i="18"/>
  <c r="F31" i="18"/>
  <c r="E31" i="18"/>
  <c r="D31" i="18"/>
  <c r="M30" i="18"/>
  <c r="L30" i="18"/>
  <c r="K30" i="18"/>
  <c r="J30" i="18"/>
  <c r="P30" i="18" s="1"/>
  <c r="I30" i="18"/>
  <c r="H30" i="18"/>
  <c r="G30" i="18"/>
  <c r="F30" i="18"/>
  <c r="E30" i="18"/>
  <c r="D30" i="18"/>
  <c r="O30" i="18" s="1"/>
  <c r="M29" i="18"/>
  <c r="L29" i="18"/>
  <c r="K29" i="18"/>
  <c r="J29" i="18"/>
  <c r="P29" i="18" s="1"/>
  <c r="I29" i="18"/>
  <c r="H29" i="18"/>
  <c r="G29" i="18"/>
  <c r="F29" i="18"/>
  <c r="E29" i="18"/>
  <c r="D29" i="18"/>
  <c r="O29" i="18" s="1"/>
  <c r="M28" i="18"/>
  <c r="L28" i="18"/>
  <c r="K28" i="18"/>
  <c r="J28" i="18"/>
  <c r="P28" i="18" s="1"/>
  <c r="I28" i="18"/>
  <c r="H28" i="18"/>
  <c r="G28" i="18"/>
  <c r="F28" i="18"/>
  <c r="E28" i="18"/>
  <c r="D28" i="18"/>
  <c r="M27" i="18"/>
  <c r="L27" i="18"/>
  <c r="K27" i="18"/>
  <c r="J27" i="18"/>
  <c r="P27" i="18" s="1"/>
  <c r="I27" i="18"/>
  <c r="H27" i="18"/>
  <c r="G27" i="18"/>
  <c r="F27" i="18"/>
  <c r="E27" i="18"/>
  <c r="D27" i="18"/>
  <c r="M26" i="18"/>
  <c r="L26" i="18"/>
  <c r="K26" i="18"/>
  <c r="J26" i="18"/>
  <c r="I26" i="18"/>
  <c r="H26" i="18"/>
  <c r="G26" i="18"/>
  <c r="F26" i="18"/>
  <c r="E26" i="18"/>
  <c r="D26" i="18"/>
  <c r="M25" i="18"/>
  <c r="L25" i="18"/>
  <c r="K25" i="18"/>
  <c r="J25" i="18"/>
  <c r="I25" i="18"/>
  <c r="H25" i="18"/>
  <c r="G25" i="18"/>
  <c r="F25" i="18"/>
  <c r="E25" i="18"/>
  <c r="D25" i="18"/>
  <c r="M24" i="18"/>
  <c r="L24" i="18"/>
  <c r="K24" i="18"/>
  <c r="J24" i="18"/>
  <c r="P24" i="18" s="1"/>
  <c r="I24" i="18"/>
  <c r="H24" i="18"/>
  <c r="G24" i="18"/>
  <c r="F24" i="18"/>
  <c r="E24" i="18"/>
  <c r="D24" i="18"/>
  <c r="M23" i="18"/>
  <c r="L23" i="18"/>
  <c r="K23" i="18"/>
  <c r="J23" i="18"/>
  <c r="P23" i="18" s="1"/>
  <c r="I23" i="18"/>
  <c r="H23" i="18"/>
  <c r="G23" i="18"/>
  <c r="F23" i="18"/>
  <c r="E23" i="18"/>
  <c r="D23" i="18"/>
  <c r="O23" i="18" s="1"/>
  <c r="M22" i="18"/>
  <c r="L22" i="18"/>
  <c r="K22" i="18"/>
  <c r="J22" i="18"/>
  <c r="P22" i="18" s="1"/>
  <c r="I22" i="18"/>
  <c r="H22" i="18"/>
  <c r="G22" i="18"/>
  <c r="F22" i="18"/>
  <c r="E22" i="18"/>
  <c r="D22" i="18"/>
  <c r="O22" i="18" s="1"/>
  <c r="M20" i="18"/>
  <c r="L20" i="18"/>
  <c r="K20" i="18"/>
  <c r="J20" i="18"/>
  <c r="P20" i="18" s="1"/>
  <c r="I20" i="18"/>
  <c r="H20" i="18"/>
  <c r="G20" i="18"/>
  <c r="F20" i="18"/>
  <c r="E20" i="18"/>
  <c r="D20" i="18"/>
  <c r="M16" i="18"/>
  <c r="L16" i="18"/>
  <c r="K16" i="18"/>
  <c r="J16" i="18"/>
  <c r="P16" i="18" s="1"/>
  <c r="I16" i="18"/>
  <c r="H16" i="18"/>
  <c r="G16" i="18"/>
  <c r="F16" i="18"/>
  <c r="E16" i="18"/>
  <c r="D16" i="18"/>
  <c r="O16" i="18" s="1"/>
  <c r="M8" i="18"/>
  <c r="L8" i="18"/>
  <c r="K8" i="18"/>
  <c r="J8" i="18"/>
  <c r="P8" i="18" s="1"/>
  <c r="I8" i="18"/>
  <c r="H8" i="18"/>
  <c r="G8" i="18"/>
  <c r="F8" i="18"/>
  <c r="E8" i="18"/>
  <c r="D8" i="18"/>
  <c r="O8" i="18" s="1"/>
  <c r="N138" i="18"/>
  <c r="M138" i="18"/>
  <c r="L138" i="18"/>
  <c r="B114" i="18"/>
  <c r="S89" i="18" s="1"/>
  <c r="F114" i="18" s="1"/>
  <c r="B152" i="18" s="1"/>
  <c r="F76" i="18"/>
  <c r="P41" i="18"/>
  <c r="O41" i="18"/>
  <c r="P40" i="18"/>
  <c r="O40" i="18"/>
  <c r="P39" i="18"/>
  <c r="O39" i="18"/>
  <c r="P38" i="18"/>
  <c r="O38" i="18"/>
  <c r="K48" i="18"/>
  <c r="A49" i="18"/>
  <c r="P21" i="18"/>
  <c r="O21" i="18"/>
  <c r="A48" i="18"/>
  <c r="P19" i="18"/>
  <c r="O19" i="18"/>
  <c r="O18" i="18"/>
  <c r="P17" i="18"/>
  <c r="O17" i="18"/>
  <c r="P15" i="18"/>
  <c r="O15" i="18"/>
  <c r="O14" i="18"/>
  <c r="P13" i="18"/>
  <c r="O13" i="18"/>
  <c r="O12" i="18"/>
  <c r="P12" i="18"/>
  <c r="P11" i="18"/>
  <c r="O11" i="18"/>
  <c r="O10" i="18"/>
  <c r="P9" i="18"/>
  <c r="O9" i="18"/>
  <c r="P7" i="18"/>
  <c r="O7" i="18"/>
  <c r="O6" i="18"/>
  <c r="P5" i="18"/>
  <c r="O5" i="18"/>
  <c r="O4" i="18"/>
  <c r="P4" i="18"/>
  <c r="P3" i="18"/>
  <c r="O3" i="18"/>
  <c r="O2" i="18"/>
  <c r="P2" i="18"/>
  <c r="P42" i="18"/>
  <c r="P89" i="18" s="1"/>
  <c r="P152" i="18" s="1"/>
  <c r="K62" i="18"/>
  <c r="F142" i="17"/>
  <c r="E142" i="17"/>
  <c r="N141" i="17" s="1"/>
  <c r="D142" i="17"/>
  <c r="M141" i="17" s="1"/>
  <c r="C142" i="17"/>
  <c r="L141" i="17" s="1"/>
  <c r="F141" i="17"/>
  <c r="E141" i="17"/>
  <c r="N140" i="17" s="1"/>
  <c r="D141" i="17"/>
  <c r="M140" i="17" s="1"/>
  <c r="C141" i="17"/>
  <c r="L140" i="17" s="1"/>
  <c r="F140" i="17"/>
  <c r="E140" i="17"/>
  <c r="N139" i="17" s="1"/>
  <c r="D140" i="17"/>
  <c r="M139" i="17" s="1"/>
  <c r="C140" i="17"/>
  <c r="L139" i="17" s="1"/>
  <c r="F139" i="17"/>
  <c r="E139" i="17"/>
  <c r="D139" i="17"/>
  <c r="C139" i="17"/>
  <c r="F138" i="17"/>
  <c r="E138" i="17"/>
  <c r="D138" i="17"/>
  <c r="C138" i="17"/>
  <c r="F135" i="17"/>
  <c r="E135" i="17"/>
  <c r="D135" i="17"/>
  <c r="C135" i="17"/>
  <c r="F134" i="17"/>
  <c r="E134" i="17"/>
  <c r="D134" i="17"/>
  <c r="C134" i="17"/>
  <c r="F133" i="17"/>
  <c r="E133" i="17"/>
  <c r="D133" i="17"/>
  <c r="C133" i="17"/>
  <c r="F132" i="17"/>
  <c r="E132" i="17"/>
  <c r="D132" i="17"/>
  <c r="C132" i="17"/>
  <c r="F130" i="17"/>
  <c r="E130" i="17"/>
  <c r="D130" i="17"/>
  <c r="C130" i="17"/>
  <c r="F126" i="17"/>
  <c r="E126" i="17"/>
  <c r="D126" i="17"/>
  <c r="C126" i="17"/>
  <c r="M41" i="17"/>
  <c r="L41" i="17"/>
  <c r="K41" i="17"/>
  <c r="J41" i="17"/>
  <c r="I41" i="17"/>
  <c r="H41" i="17"/>
  <c r="G41" i="17"/>
  <c r="F41" i="17"/>
  <c r="E41" i="17"/>
  <c r="D41" i="17"/>
  <c r="M40" i="17"/>
  <c r="L40" i="17"/>
  <c r="K40" i="17"/>
  <c r="J40" i="17"/>
  <c r="I40" i="17"/>
  <c r="H40" i="17"/>
  <c r="G40" i="17"/>
  <c r="F40" i="17"/>
  <c r="E40" i="17"/>
  <c r="D40" i="17"/>
  <c r="M39" i="17"/>
  <c r="L39" i="17"/>
  <c r="K39" i="17"/>
  <c r="J39" i="17"/>
  <c r="I39" i="17"/>
  <c r="H39" i="17"/>
  <c r="G39" i="17"/>
  <c r="F39" i="17"/>
  <c r="E39" i="17"/>
  <c r="D39" i="17"/>
  <c r="M38" i="17"/>
  <c r="L38" i="17"/>
  <c r="K38" i="17"/>
  <c r="J38" i="17"/>
  <c r="I38" i="17"/>
  <c r="H38" i="17"/>
  <c r="G38" i="17"/>
  <c r="F38" i="17"/>
  <c r="E38" i="17"/>
  <c r="D38" i="17"/>
  <c r="M37" i="17"/>
  <c r="L37" i="17"/>
  <c r="K37" i="17"/>
  <c r="J37" i="17"/>
  <c r="P37" i="17" s="1"/>
  <c r="I37" i="17"/>
  <c r="H37" i="17"/>
  <c r="G37" i="17"/>
  <c r="F37" i="17"/>
  <c r="E37" i="17"/>
  <c r="D37" i="17"/>
  <c r="M36" i="17"/>
  <c r="L36" i="17"/>
  <c r="K36" i="17"/>
  <c r="J36" i="17"/>
  <c r="I36" i="17"/>
  <c r="H36" i="17"/>
  <c r="G36" i="17"/>
  <c r="F36" i="17"/>
  <c r="E36" i="17"/>
  <c r="D36" i="17"/>
  <c r="M35" i="17"/>
  <c r="L35" i="17"/>
  <c r="K35" i="17"/>
  <c r="J35" i="17"/>
  <c r="P35" i="17" s="1"/>
  <c r="I35" i="17"/>
  <c r="H35" i="17"/>
  <c r="G35" i="17"/>
  <c r="F35" i="17"/>
  <c r="E35" i="17"/>
  <c r="D35" i="17"/>
  <c r="O35" i="17" s="1"/>
  <c r="M34" i="17"/>
  <c r="L34" i="17"/>
  <c r="K34" i="17"/>
  <c r="J34" i="17"/>
  <c r="P34" i="17" s="1"/>
  <c r="I34" i="17"/>
  <c r="H34" i="17"/>
  <c r="G34" i="17"/>
  <c r="F34" i="17"/>
  <c r="E34" i="17"/>
  <c r="D34" i="17"/>
  <c r="O34" i="17" s="1"/>
  <c r="M33" i="17"/>
  <c r="L33" i="17"/>
  <c r="K33" i="17"/>
  <c r="J33" i="17"/>
  <c r="P33" i="17" s="1"/>
  <c r="I33" i="17"/>
  <c r="H33" i="17"/>
  <c r="G33" i="17"/>
  <c r="F33" i="17"/>
  <c r="E33" i="17"/>
  <c r="D33" i="17"/>
  <c r="M32" i="17"/>
  <c r="L32" i="17"/>
  <c r="K32" i="17"/>
  <c r="J32" i="17"/>
  <c r="P32" i="17" s="1"/>
  <c r="I32" i="17"/>
  <c r="H32" i="17"/>
  <c r="G32" i="17"/>
  <c r="F32" i="17"/>
  <c r="E32" i="17"/>
  <c r="D32" i="17"/>
  <c r="O32" i="17" s="1"/>
  <c r="M31" i="17"/>
  <c r="L31" i="17"/>
  <c r="K31" i="17"/>
  <c r="J31" i="17"/>
  <c r="P31" i="17" s="1"/>
  <c r="I31" i="17"/>
  <c r="H31" i="17"/>
  <c r="G31" i="17"/>
  <c r="F31" i="17"/>
  <c r="E31" i="17"/>
  <c r="D31" i="17"/>
  <c r="O31" i="17" s="1"/>
  <c r="M30" i="17"/>
  <c r="L30" i="17"/>
  <c r="K30" i="17"/>
  <c r="J30" i="17"/>
  <c r="P30" i="17" s="1"/>
  <c r="I30" i="17"/>
  <c r="H30" i="17"/>
  <c r="G30" i="17"/>
  <c r="F30" i="17"/>
  <c r="E30" i="17"/>
  <c r="D30" i="17"/>
  <c r="O30" i="17" s="1"/>
  <c r="M29" i="17"/>
  <c r="L29" i="17"/>
  <c r="K29" i="17"/>
  <c r="J29" i="17"/>
  <c r="P29" i="17" s="1"/>
  <c r="I29" i="17"/>
  <c r="H29" i="17"/>
  <c r="G29" i="17"/>
  <c r="F29" i="17"/>
  <c r="E29" i="17"/>
  <c r="D29" i="17"/>
  <c r="M28" i="17"/>
  <c r="L28" i="17"/>
  <c r="K28" i="17"/>
  <c r="J28" i="17"/>
  <c r="P28" i="17" s="1"/>
  <c r="I28" i="17"/>
  <c r="H28" i="17"/>
  <c r="G28" i="17"/>
  <c r="F28" i="17"/>
  <c r="E28" i="17"/>
  <c r="D28" i="17"/>
  <c r="O28" i="17" s="1"/>
  <c r="M27" i="17"/>
  <c r="L27" i="17"/>
  <c r="K27" i="17"/>
  <c r="J27" i="17"/>
  <c r="P27" i="17" s="1"/>
  <c r="I27" i="17"/>
  <c r="H27" i="17"/>
  <c r="G27" i="17"/>
  <c r="F27" i="17"/>
  <c r="E27" i="17"/>
  <c r="D27" i="17"/>
  <c r="O27" i="17" s="1"/>
  <c r="M26" i="17"/>
  <c r="L26" i="17"/>
  <c r="K26" i="17"/>
  <c r="J26" i="17"/>
  <c r="I26" i="17"/>
  <c r="H26" i="17"/>
  <c r="G26" i="17"/>
  <c r="F26" i="17"/>
  <c r="E26" i="17"/>
  <c r="D26" i="17"/>
  <c r="M25" i="17"/>
  <c r="L25" i="17"/>
  <c r="K25" i="17"/>
  <c r="J25" i="17"/>
  <c r="I25" i="17"/>
  <c r="H25" i="17"/>
  <c r="G25" i="17"/>
  <c r="F25" i="17"/>
  <c r="E25" i="17"/>
  <c r="D25" i="17"/>
  <c r="M24" i="17"/>
  <c r="L24" i="17"/>
  <c r="K24" i="17"/>
  <c r="J24" i="17"/>
  <c r="P24" i="17" s="1"/>
  <c r="I24" i="17"/>
  <c r="H24" i="17"/>
  <c r="G24" i="17"/>
  <c r="F24" i="17"/>
  <c r="E24" i="17"/>
  <c r="D24" i="17"/>
  <c r="O24" i="17" s="1"/>
  <c r="M23" i="17"/>
  <c r="L23" i="17"/>
  <c r="K23" i="17"/>
  <c r="J23" i="17"/>
  <c r="P23" i="17" s="1"/>
  <c r="I23" i="17"/>
  <c r="H23" i="17"/>
  <c r="G23" i="17"/>
  <c r="F23" i="17"/>
  <c r="E23" i="17"/>
  <c r="D23" i="17"/>
  <c r="O23" i="17" s="1"/>
  <c r="M22" i="17"/>
  <c r="L22" i="17"/>
  <c r="K22" i="17"/>
  <c r="J22" i="17"/>
  <c r="P22" i="17" s="1"/>
  <c r="I22" i="17"/>
  <c r="H22" i="17"/>
  <c r="G22" i="17"/>
  <c r="F22" i="17"/>
  <c r="E22" i="17"/>
  <c r="D22" i="17"/>
  <c r="O22" i="17" s="1"/>
  <c r="M20" i="17"/>
  <c r="L20" i="17"/>
  <c r="K20" i="17"/>
  <c r="J20" i="17"/>
  <c r="P20" i="17" s="1"/>
  <c r="I20" i="17"/>
  <c r="H20" i="17"/>
  <c r="G20" i="17"/>
  <c r="F20" i="17"/>
  <c r="E20" i="17"/>
  <c r="D20" i="17"/>
  <c r="O20" i="17" s="1"/>
  <c r="M16" i="17"/>
  <c r="L16" i="17"/>
  <c r="K16" i="17"/>
  <c r="J16" i="17"/>
  <c r="P16" i="17" s="1"/>
  <c r="I16" i="17"/>
  <c r="H16" i="17"/>
  <c r="G16" i="17"/>
  <c r="F16" i="17"/>
  <c r="E16" i="17"/>
  <c r="D16" i="17"/>
  <c r="M8" i="17"/>
  <c r="L8" i="17"/>
  <c r="K8" i="17"/>
  <c r="J8" i="17"/>
  <c r="P8" i="17" s="1"/>
  <c r="I8" i="17"/>
  <c r="H8" i="17"/>
  <c r="G8" i="17"/>
  <c r="F8" i="17"/>
  <c r="E8" i="17"/>
  <c r="D8" i="17"/>
  <c r="N138" i="17"/>
  <c r="M138" i="17"/>
  <c r="L138" i="17"/>
  <c r="B114" i="17"/>
  <c r="S89" i="17" s="1"/>
  <c r="F114" i="17" s="1"/>
  <c r="B152" i="17" s="1"/>
  <c r="F76" i="17"/>
  <c r="P41" i="17"/>
  <c r="O41" i="17"/>
  <c r="P40" i="17"/>
  <c r="O40" i="17"/>
  <c r="P39" i="17"/>
  <c r="O39" i="17"/>
  <c r="P38" i="17"/>
  <c r="O38" i="17"/>
  <c r="K48" i="17"/>
  <c r="B62" i="17"/>
  <c r="A49" i="17"/>
  <c r="P21" i="17"/>
  <c r="A48" i="17"/>
  <c r="P19" i="17"/>
  <c r="O19" i="17"/>
  <c r="O18" i="17"/>
  <c r="P17" i="17"/>
  <c r="O17" i="17"/>
  <c r="P15" i="17"/>
  <c r="O15" i="17"/>
  <c r="O14" i="17"/>
  <c r="P13" i="17"/>
  <c r="O13" i="17"/>
  <c r="P12" i="17"/>
  <c r="P11" i="17"/>
  <c r="O11" i="17"/>
  <c r="O10" i="17"/>
  <c r="P9" i="17"/>
  <c r="O9" i="17"/>
  <c r="P7" i="17"/>
  <c r="O7" i="17"/>
  <c r="O6" i="17"/>
  <c r="P5" i="17"/>
  <c r="O5" i="17"/>
  <c r="P4" i="17"/>
  <c r="P3" i="17"/>
  <c r="P2" i="17"/>
  <c r="O2" i="17"/>
  <c r="P42" i="17"/>
  <c r="P89" i="17" s="1"/>
  <c r="P152" i="17" s="1"/>
  <c r="K62" i="17"/>
  <c r="F142" i="16"/>
  <c r="D142" i="16"/>
  <c r="M141" i="16" s="1"/>
  <c r="F141" i="16"/>
  <c r="D141" i="16"/>
  <c r="M140" i="16" s="1"/>
  <c r="F140" i="16"/>
  <c r="D140" i="16"/>
  <c r="M139" i="16" s="1"/>
  <c r="F139" i="16"/>
  <c r="D139" i="16"/>
  <c r="F138" i="16"/>
  <c r="D138" i="16"/>
  <c r="F135" i="16"/>
  <c r="D135" i="16"/>
  <c r="F134" i="16"/>
  <c r="D134" i="16"/>
  <c r="F133" i="16"/>
  <c r="D133" i="16"/>
  <c r="F132" i="16"/>
  <c r="D132" i="16"/>
  <c r="F130" i="16"/>
  <c r="D130" i="16"/>
  <c r="F126" i="16"/>
  <c r="D126" i="16"/>
  <c r="L41" i="16"/>
  <c r="K41" i="16"/>
  <c r="J41" i="16"/>
  <c r="I41" i="16"/>
  <c r="H41" i="16"/>
  <c r="G41" i="16"/>
  <c r="F41" i="16"/>
  <c r="E41" i="16"/>
  <c r="D41" i="16"/>
  <c r="J40" i="16"/>
  <c r="I40" i="16"/>
  <c r="H40" i="16"/>
  <c r="G40" i="16"/>
  <c r="F40" i="16"/>
  <c r="E40" i="16"/>
  <c r="D40" i="16"/>
  <c r="D39" i="16"/>
  <c r="L38" i="16"/>
  <c r="K38" i="16"/>
  <c r="J38" i="16"/>
  <c r="I38" i="16"/>
  <c r="H38" i="16"/>
  <c r="G38" i="16"/>
  <c r="F38" i="16"/>
  <c r="E38" i="16"/>
  <c r="D38" i="16"/>
  <c r="M37" i="16"/>
  <c r="L37" i="16"/>
  <c r="K37" i="16"/>
  <c r="J37" i="16"/>
  <c r="P37" i="16" s="1"/>
  <c r="I37" i="16"/>
  <c r="H37" i="16"/>
  <c r="G37" i="16"/>
  <c r="F37" i="16"/>
  <c r="E37" i="16"/>
  <c r="D37" i="16"/>
  <c r="O37" i="16" s="1"/>
  <c r="M36" i="16"/>
  <c r="L36" i="16"/>
  <c r="K36" i="16"/>
  <c r="J36" i="16"/>
  <c r="I36" i="16"/>
  <c r="H36" i="16"/>
  <c r="G36" i="16"/>
  <c r="F36" i="16"/>
  <c r="E36" i="16"/>
  <c r="D36" i="16"/>
  <c r="M35" i="16"/>
  <c r="L35" i="16"/>
  <c r="K35" i="16"/>
  <c r="J35" i="16"/>
  <c r="P35" i="16" s="1"/>
  <c r="I35" i="16"/>
  <c r="H35" i="16"/>
  <c r="G35" i="16"/>
  <c r="F35" i="16"/>
  <c r="E35" i="16"/>
  <c r="D35" i="16"/>
  <c r="O35" i="16" s="1"/>
  <c r="M34" i="16"/>
  <c r="L34" i="16"/>
  <c r="K34" i="16"/>
  <c r="J34" i="16"/>
  <c r="P34" i="16" s="1"/>
  <c r="I34" i="16"/>
  <c r="H34" i="16"/>
  <c r="G34" i="16"/>
  <c r="F34" i="16"/>
  <c r="E34" i="16"/>
  <c r="D34" i="16"/>
  <c r="O34" i="16" s="1"/>
  <c r="M33" i="16"/>
  <c r="L33" i="16"/>
  <c r="K33" i="16"/>
  <c r="J33" i="16"/>
  <c r="P33" i="16" s="1"/>
  <c r="I33" i="16"/>
  <c r="H33" i="16"/>
  <c r="G33" i="16"/>
  <c r="F33" i="16"/>
  <c r="E33" i="16"/>
  <c r="D33" i="16"/>
  <c r="O33" i="16" s="1"/>
  <c r="M32" i="16"/>
  <c r="K32" i="16"/>
  <c r="J32" i="16"/>
  <c r="P32" i="16" s="1"/>
  <c r="I32" i="16"/>
  <c r="H32" i="16"/>
  <c r="G32" i="16"/>
  <c r="F32" i="16"/>
  <c r="E32" i="16"/>
  <c r="D32" i="16"/>
  <c r="M31" i="16"/>
  <c r="L31" i="16"/>
  <c r="K31" i="16"/>
  <c r="J31" i="16"/>
  <c r="P31" i="16" s="1"/>
  <c r="I31" i="16"/>
  <c r="H31" i="16"/>
  <c r="G31" i="16"/>
  <c r="F31" i="16"/>
  <c r="E31" i="16"/>
  <c r="D31" i="16"/>
  <c r="M30" i="16"/>
  <c r="L30" i="16"/>
  <c r="K30" i="16"/>
  <c r="J30" i="16"/>
  <c r="P30" i="16" s="1"/>
  <c r="I30" i="16"/>
  <c r="H30" i="16"/>
  <c r="G30" i="16"/>
  <c r="F30" i="16"/>
  <c r="E30" i="16"/>
  <c r="D30" i="16"/>
  <c r="O30" i="16" s="1"/>
  <c r="M29" i="16"/>
  <c r="L29" i="16"/>
  <c r="K29" i="16"/>
  <c r="J29" i="16"/>
  <c r="P29" i="16" s="1"/>
  <c r="I29" i="16"/>
  <c r="H29" i="16"/>
  <c r="G29" i="16"/>
  <c r="F29" i="16"/>
  <c r="E29" i="16"/>
  <c r="D29" i="16"/>
  <c r="O29" i="16" s="1"/>
  <c r="M28" i="16"/>
  <c r="K28" i="16"/>
  <c r="J28" i="16"/>
  <c r="I28" i="16"/>
  <c r="H28" i="16"/>
  <c r="G28" i="16"/>
  <c r="F28" i="16"/>
  <c r="E28" i="16"/>
  <c r="D28" i="16"/>
  <c r="M27" i="16"/>
  <c r="L27" i="16"/>
  <c r="K27" i="16"/>
  <c r="J27" i="16"/>
  <c r="P27" i="16" s="1"/>
  <c r="I27" i="16"/>
  <c r="H27" i="16"/>
  <c r="G27" i="16"/>
  <c r="F27" i="16"/>
  <c r="E27" i="16"/>
  <c r="D27" i="16"/>
  <c r="M26" i="16"/>
  <c r="L26" i="16"/>
  <c r="K26" i="16"/>
  <c r="J26" i="16"/>
  <c r="I26" i="16"/>
  <c r="H26" i="16"/>
  <c r="G26" i="16"/>
  <c r="F26" i="16"/>
  <c r="E26" i="16"/>
  <c r="D26" i="16"/>
  <c r="M25" i="16"/>
  <c r="L25" i="16"/>
  <c r="K25" i="16"/>
  <c r="J25" i="16"/>
  <c r="I25" i="16"/>
  <c r="H25" i="16"/>
  <c r="G25" i="16"/>
  <c r="F25" i="16"/>
  <c r="E25" i="16"/>
  <c r="D25" i="16"/>
  <c r="M24" i="16"/>
  <c r="L24" i="16"/>
  <c r="K24" i="16"/>
  <c r="J24" i="16"/>
  <c r="P24" i="16" s="1"/>
  <c r="I24" i="16"/>
  <c r="H24" i="16"/>
  <c r="G24" i="16"/>
  <c r="F24" i="16"/>
  <c r="E24" i="16"/>
  <c r="D24" i="16"/>
  <c r="M23" i="16"/>
  <c r="L23" i="16"/>
  <c r="K23" i="16"/>
  <c r="J23" i="16"/>
  <c r="P23" i="16" s="1"/>
  <c r="I23" i="16"/>
  <c r="H23" i="16"/>
  <c r="G23" i="16"/>
  <c r="F23" i="16"/>
  <c r="E23" i="16"/>
  <c r="D23" i="16"/>
  <c r="O23" i="16" s="1"/>
  <c r="M22" i="16"/>
  <c r="L22" i="16"/>
  <c r="K22" i="16"/>
  <c r="J22" i="16"/>
  <c r="P22" i="16" s="1"/>
  <c r="I22" i="16"/>
  <c r="H22" i="16"/>
  <c r="G22" i="16"/>
  <c r="F22" i="16"/>
  <c r="E22" i="16"/>
  <c r="D22" i="16"/>
  <c r="O22" i="16" s="1"/>
  <c r="M20" i="16"/>
  <c r="L20" i="16"/>
  <c r="K20" i="16"/>
  <c r="J20" i="16"/>
  <c r="P20" i="16" s="1"/>
  <c r="I20" i="16"/>
  <c r="H20" i="16"/>
  <c r="G20" i="16"/>
  <c r="F20" i="16"/>
  <c r="E20" i="16"/>
  <c r="D20" i="16"/>
  <c r="M16" i="16"/>
  <c r="L16" i="16"/>
  <c r="K16" i="16"/>
  <c r="J16" i="16"/>
  <c r="P16" i="16" s="1"/>
  <c r="I16" i="16"/>
  <c r="H16" i="16"/>
  <c r="G16" i="16"/>
  <c r="F16" i="16"/>
  <c r="E16" i="16"/>
  <c r="D16" i="16"/>
  <c r="O16" i="16" s="1"/>
  <c r="M8" i="16"/>
  <c r="L8" i="16"/>
  <c r="K8" i="16"/>
  <c r="J8" i="16"/>
  <c r="P8" i="16" s="1"/>
  <c r="I8" i="16"/>
  <c r="H8" i="16"/>
  <c r="G8" i="16"/>
  <c r="F8" i="16"/>
  <c r="E8" i="16"/>
  <c r="D8" i="16"/>
  <c r="O8" i="16" s="1"/>
  <c r="L141" i="16"/>
  <c r="N141" i="16"/>
  <c r="N140" i="16"/>
  <c r="N142" i="16" s="1"/>
  <c r="L140" i="16"/>
  <c r="N139" i="16"/>
  <c r="L139" i="16"/>
  <c r="N138" i="16"/>
  <c r="M138" i="16"/>
  <c r="L138" i="16"/>
  <c r="B114" i="16"/>
  <c r="S89" i="16" s="1"/>
  <c r="F114" i="16" s="1"/>
  <c r="B152" i="16" s="1"/>
  <c r="F76" i="16"/>
  <c r="P41" i="16"/>
  <c r="O41" i="16"/>
  <c r="P40" i="16"/>
  <c r="O40" i="16"/>
  <c r="P39" i="16"/>
  <c r="O39" i="16"/>
  <c r="P38" i="16"/>
  <c r="O38" i="16"/>
  <c r="P28" i="16"/>
  <c r="K48" i="16"/>
  <c r="A49" i="16"/>
  <c r="P21" i="16"/>
  <c r="O21" i="16"/>
  <c r="A48" i="16"/>
  <c r="P19" i="16"/>
  <c r="O19" i="16"/>
  <c r="O18" i="16"/>
  <c r="P17" i="16"/>
  <c r="O17" i="16"/>
  <c r="P15" i="16"/>
  <c r="O15" i="16"/>
  <c r="O14" i="16"/>
  <c r="P13" i="16"/>
  <c r="O13" i="16"/>
  <c r="O12" i="16"/>
  <c r="P12" i="16"/>
  <c r="P11" i="16"/>
  <c r="O11" i="16"/>
  <c r="O10" i="16"/>
  <c r="P9" i="16"/>
  <c r="O9" i="16"/>
  <c r="P7" i="16"/>
  <c r="O7" i="16"/>
  <c r="O6" i="16"/>
  <c r="P5" i="16"/>
  <c r="O5" i="16"/>
  <c r="O4" i="16"/>
  <c r="P4" i="16"/>
  <c r="P3" i="16"/>
  <c r="O3" i="16"/>
  <c r="O2" i="16"/>
  <c r="P2" i="16"/>
  <c r="P42" i="16"/>
  <c r="P89" i="16" s="1"/>
  <c r="P152" i="16" s="1"/>
  <c r="K62" i="16"/>
  <c r="F142" i="15"/>
  <c r="F141" i="15"/>
  <c r="F140" i="15"/>
  <c r="F139" i="15"/>
  <c r="F138" i="15"/>
  <c r="F135" i="15"/>
  <c r="F134" i="15"/>
  <c r="F133" i="15"/>
  <c r="F132" i="15"/>
  <c r="F130" i="15"/>
  <c r="F126" i="15"/>
  <c r="K41" i="15"/>
  <c r="I41" i="15"/>
  <c r="H41" i="15"/>
  <c r="G41" i="15"/>
  <c r="F41" i="15"/>
  <c r="E41" i="15"/>
  <c r="D41" i="15"/>
  <c r="I40" i="15"/>
  <c r="H40" i="15"/>
  <c r="G40" i="15"/>
  <c r="F40" i="15"/>
  <c r="K39" i="15"/>
  <c r="I39" i="15"/>
  <c r="H39" i="15"/>
  <c r="G39" i="15"/>
  <c r="F39" i="15"/>
  <c r="E39" i="15"/>
  <c r="D39" i="15"/>
  <c r="I38" i="15"/>
  <c r="H38" i="15"/>
  <c r="G38" i="15"/>
  <c r="F38" i="15"/>
  <c r="E38" i="15"/>
  <c r="D38" i="15"/>
  <c r="M37" i="15"/>
  <c r="L37" i="15"/>
  <c r="K37" i="15"/>
  <c r="J37" i="15"/>
  <c r="P37" i="15" s="1"/>
  <c r="I37" i="15"/>
  <c r="H37" i="15"/>
  <c r="G37" i="15"/>
  <c r="F37" i="15"/>
  <c r="E37" i="15"/>
  <c r="D37" i="15"/>
  <c r="M36" i="15"/>
  <c r="L36" i="15"/>
  <c r="K36" i="15"/>
  <c r="J36" i="15"/>
  <c r="I36" i="15"/>
  <c r="H36" i="15"/>
  <c r="G36" i="15"/>
  <c r="F36" i="15"/>
  <c r="E36" i="15"/>
  <c r="D36" i="15"/>
  <c r="M35" i="15"/>
  <c r="L35" i="15"/>
  <c r="K35" i="15"/>
  <c r="J35" i="15"/>
  <c r="P35" i="15" s="1"/>
  <c r="I35" i="15"/>
  <c r="H35" i="15"/>
  <c r="G35" i="15"/>
  <c r="F35" i="15"/>
  <c r="E35" i="15"/>
  <c r="D35" i="15"/>
  <c r="O35" i="15" s="1"/>
  <c r="M34" i="15"/>
  <c r="L34" i="15"/>
  <c r="K34" i="15"/>
  <c r="J34" i="15"/>
  <c r="P34" i="15" s="1"/>
  <c r="I34" i="15"/>
  <c r="H34" i="15"/>
  <c r="G34" i="15"/>
  <c r="F34" i="15"/>
  <c r="E34" i="15"/>
  <c r="D34" i="15"/>
  <c r="M33" i="15"/>
  <c r="L33" i="15"/>
  <c r="K33" i="15"/>
  <c r="J33" i="15"/>
  <c r="P33" i="15" s="1"/>
  <c r="I33" i="15"/>
  <c r="H33" i="15"/>
  <c r="G33" i="15"/>
  <c r="F33" i="15"/>
  <c r="E33" i="15"/>
  <c r="D33" i="15"/>
  <c r="M32" i="15"/>
  <c r="L32" i="15"/>
  <c r="K32" i="15"/>
  <c r="J32" i="15"/>
  <c r="P32" i="15" s="1"/>
  <c r="I32" i="15"/>
  <c r="H32" i="15"/>
  <c r="G32" i="15"/>
  <c r="F32" i="15"/>
  <c r="E32" i="15"/>
  <c r="D32" i="15"/>
  <c r="O32" i="15" s="1"/>
  <c r="M31" i="15"/>
  <c r="L31" i="15"/>
  <c r="K31" i="15"/>
  <c r="J31" i="15"/>
  <c r="P31" i="15" s="1"/>
  <c r="I31" i="15"/>
  <c r="H31" i="15"/>
  <c r="G31" i="15"/>
  <c r="F31" i="15"/>
  <c r="E31" i="15"/>
  <c r="D31" i="15"/>
  <c r="O31" i="15" s="1"/>
  <c r="M30" i="15"/>
  <c r="L30" i="15"/>
  <c r="K30" i="15"/>
  <c r="J30" i="15"/>
  <c r="P30" i="15" s="1"/>
  <c r="I30" i="15"/>
  <c r="H30" i="15"/>
  <c r="G30" i="15"/>
  <c r="F30" i="15"/>
  <c r="E30" i="15"/>
  <c r="D30" i="15"/>
  <c r="M29" i="15"/>
  <c r="L29" i="15"/>
  <c r="K29" i="15"/>
  <c r="J29" i="15"/>
  <c r="P29" i="15" s="1"/>
  <c r="I29" i="15"/>
  <c r="H29" i="15"/>
  <c r="G29" i="15"/>
  <c r="F29" i="15"/>
  <c r="E29" i="15"/>
  <c r="D29" i="15"/>
  <c r="M28" i="15"/>
  <c r="L28" i="15"/>
  <c r="K28" i="15"/>
  <c r="J28" i="15"/>
  <c r="P28" i="15" s="1"/>
  <c r="I28" i="15"/>
  <c r="H28" i="15"/>
  <c r="G28" i="15"/>
  <c r="F28" i="15"/>
  <c r="E28" i="15"/>
  <c r="D28" i="15"/>
  <c r="O28" i="15" s="1"/>
  <c r="M27" i="15"/>
  <c r="L27" i="15"/>
  <c r="K27" i="15"/>
  <c r="J27" i="15"/>
  <c r="P27" i="15" s="1"/>
  <c r="I27" i="15"/>
  <c r="H27" i="15"/>
  <c r="G27" i="15"/>
  <c r="F27" i="15"/>
  <c r="E27" i="15"/>
  <c r="D27" i="15"/>
  <c r="O27" i="15" s="1"/>
  <c r="M26" i="15"/>
  <c r="L26" i="15"/>
  <c r="K26" i="15"/>
  <c r="J26" i="15"/>
  <c r="I26" i="15"/>
  <c r="H26" i="15"/>
  <c r="G26" i="15"/>
  <c r="F26" i="15"/>
  <c r="E26" i="15"/>
  <c r="D26" i="15"/>
  <c r="M25" i="15"/>
  <c r="L25" i="15"/>
  <c r="K25" i="15"/>
  <c r="J25" i="15"/>
  <c r="I25" i="15"/>
  <c r="H25" i="15"/>
  <c r="G25" i="15"/>
  <c r="F25" i="15"/>
  <c r="E25" i="15"/>
  <c r="D25" i="15"/>
  <c r="M24" i="15"/>
  <c r="L24" i="15"/>
  <c r="K24" i="15"/>
  <c r="J24" i="15"/>
  <c r="P24" i="15" s="1"/>
  <c r="I24" i="15"/>
  <c r="H24" i="15"/>
  <c r="G24" i="15"/>
  <c r="F24" i="15"/>
  <c r="E24" i="15"/>
  <c r="D24" i="15"/>
  <c r="O24" i="15" s="1"/>
  <c r="M23" i="15"/>
  <c r="L23" i="15"/>
  <c r="K23" i="15"/>
  <c r="J23" i="15"/>
  <c r="P23" i="15" s="1"/>
  <c r="I23" i="15"/>
  <c r="H23" i="15"/>
  <c r="G23" i="15"/>
  <c r="F23" i="15"/>
  <c r="E23" i="15"/>
  <c r="D23" i="15"/>
  <c r="O23" i="15" s="1"/>
  <c r="M22" i="15"/>
  <c r="L22" i="15"/>
  <c r="K22" i="15"/>
  <c r="J22" i="15"/>
  <c r="P22" i="15" s="1"/>
  <c r="I22" i="15"/>
  <c r="H22" i="15"/>
  <c r="G22" i="15"/>
  <c r="F22" i="15"/>
  <c r="E22" i="15"/>
  <c r="D22" i="15"/>
  <c r="M20" i="15"/>
  <c r="L20" i="15"/>
  <c r="K20" i="15"/>
  <c r="J20" i="15"/>
  <c r="P20" i="15" s="1"/>
  <c r="I20" i="15"/>
  <c r="H20" i="15"/>
  <c r="G20" i="15"/>
  <c r="F20" i="15"/>
  <c r="E20" i="15"/>
  <c r="D20" i="15"/>
  <c r="O20" i="15" s="1"/>
  <c r="M16" i="15"/>
  <c r="L16" i="15"/>
  <c r="K16" i="15"/>
  <c r="J16" i="15"/>
  <c r="P16" i="15" s="1"/>
  <c r="I16" i="15"/>
  <c r="H16" i="15"/>
  <c r="G16" i="15"/>
  <c r="F16" i="15"/>
  <c r="E16" i="15"/>
  <c r="D16" i="15"/>
  <c r="M8" i="15"/>
  <c r="L8" i="15"/>
  <c r="K8" i="15"/>
  <c r="J8" i="15"/>
  <c r="P8" i="15" s="1"/>
  <c r="I8" i="15"/>
  <c r="H8" i="15"/>
  <c r="G8" i="15"/>
  <c r="F8" i="15"/>
  <c r="E8" i="15"/>
  <c r="D8" i="15"/>
  <c r="M141" i="15"/>
  <c r="L141" i="15"/>
  <c r="N141" i="15"/>
  <c r="N140" i="15"/>
  <c r="M140" i="15"/>
  <c r="L140" i="15"/>
  <c r="N139" i="15"/>
  <c r="M139" i="15"/>
  <c r="L139" i="15"/>
  <c r="N138" i="15"/>
  <c r="M138" i="15"/>
  <c r="L138" i="15"/>
  <c r="B114" i="15"/>
  <c r="S89" i="15" s="1"/>
  <c r="F114" i="15" s="1"/>
  <c r="B152" i="15" s="1"/>
  <c r="A76" i="15"/>
  <c r="P41" i="15"/>
  <c r="O41" i="15"/>
  <c r="P40" i="15"/>
  <c r="O40" i="15"/>
  <c r="P39" i="15"/>
  <c r="O39" i="15"/>
  <c r="P38" i="15"/>
  <c r="O38" i="15"/>
  <c r="K48" i="15"/>
  <c r="B62" i="15"/>
  <c r="A49" i="15"/>
  <c r="P21" i="15"/>
  <c r="A48" i="15"/>
  <c r="P19" i="15"/>
  <c r="O19" i="15"/>
  <c r="O18" i="15"/>
  <c r="P17" i="15"/>
  <c r="O17" i="15"/>
  <c r="P15" i="15"/>
  <c r="O15" i="15"/>
  <c r="O14" i="15"/>
  <c r="P13" i="15"/>
  <c r="O13" i="15"/>
  <c r="P12" i="15"/>
  <c r="P11" i="15"/>
  <c r="O11" i="15"/>
  <c r="O10" i="15"/>
  <c r="P9" i="15"/>
  <c r="O9" i="15"/>
  <c r="P7" i="15"/>
  <c r="O7" i="15"/>
  <c r="O6" i="15"/>
  <c r="P5" i="15"/>
  <c r="O5" i="15"/>
  <c r="P4" i="15"/>
  <c r="P3" i="15"/>
  <c r="O3" i="15"/>
  <c r="P2" i="15"/>
  <c r="O2" i="15"/>
  <c r="P42" i="15"/>
  <c r="P89" i="15" s="1"/>
  <c r="P152" i="15" s="1"/>
  <c r="F76" i="15"/>
  <c r="F142" i="13"/>
  <c r="E142" i="13"/>
  <c r="N141" i="13" s="1"/>
  <c r="D142" i="13"/>
  <c r="M141" i="13" s="1"/>
  <c r="C142" i="13"/>
  <c r="L141" i="13" s="1"/>
  <c r="F141" i="13"/>
  <c r="E141" i="13"/>
  <c r="N140" i="13" s="1"/>
  <c r="D141" i="13"/>
  <c r="M140" i="13" s="1"/>
  <c r="C141" i="13"/>
  <c r="L140" i="13" s="1"/>
  <c r="F140" i="13"/>
  <c r="E140" i="13"/>
  <c r="N139" i="13" s="1"/>
  <c r="D140" i="13"/>
  <c r="M139" i="13" s="1"/>
  <c r="C140" i="13"/>
  <c r="L139" i="13" s="1"/>
  <c r="F139" i="13"/>
  <c r="E139" i="13"/>
  <c r="D139" i="13"/>
  <c r="C139" i="13"/>
  <c r="F138" i="13"/>
  <c r="E138" i="13"/>
  <c r="D138" i="13"/>
  <c r="C138" i="13"/>
  <c r="F135" i="13"/>
  <c r="E135" i="13"/>
  <c r="D135" i="13"/>
  <c r="C135" i="13"/>
  <c r="F134" i="13"/>
  <c r="E134" i="13"/>
  <c r="D134" i="13"/>
  <c r="C134" i="13"/>
  <c r="F133" i="13"/>
  <c r="E133" i="13"/>
  <c r="D133" i="13"/>
  <c r="C133" i="13"/>
  <c r="F132" i="13"/>
  <c r="E132" i="13"/>
  <c r="D132" i="13"/>
  <c r="C132" i="13"/>
  <c r="F130" i="13"/>
  <c r="E130" i="13"/>
  <c r="D130" i="13"/>
  <c r="C130" i="13"/>
  <c r="F126" i="13"/>
  <c r="E126" i="13"/>
  <c r="D126" i="13"/>
  <c r="C126" i="13"/>
  <c r="M41" i="13"/>
  <c r="L41" i="13"/>
  <c r="K41" i="13"/>
  <c r="J41" i="13"/>
  <c r="I41" i="13"/>
  <c r="H41" i="13"/>
  <c r="G41" i="13"/>
  <c r="F41" i="13"/>
  <c r="E41" i="13"/>
  <c r="D41" i="13"/>
  <c r="L40" i="13"/>
  <c r="G40" i="13"/>
  <c r="E40" i="13"/>
  <c r="D40" i="13"/>
  <c r="H39" i="13"/>
  <c r="G39" i="13"/>
  <c r="E39" i="13"/>
  <c r="M38" i="13"/>
  <c r="L38" i="13"/>
  <c r="K38" i="13"/>
  <c r="J38" i="13"/>
  <c r="I38" i="13"/>
  <c r="H38" i="13"/>
  <c r="G38" i="13"/>
  <c r="F38" i="13"/>
  <c r="E38" i="13"/>
  <c r="D38" i="13"/>
  <c r="M37" i="13"/>
  <c r="L37" i="13"/>
  <c r="K37" i="13"/>
  <c r="J37" i="13"/>
  <c r="P37" i="13" s="1"/>
  <c r="I37" i="13"/>
  <c r="H37" i="13"/>
  <c r="G37" i="13"/>
  <c r="E37" i="13"/>
  <c r="D37" i="13"/>
  <c r="O37" i="13" s="1"/>
  <c r="M36" i="13"/>
  <c r="L36" i="13"/>
  <c r="K36" i="13"/>
  <c r="J36" i="13"/>
  <c r="P36" i="13" s="1"/>
  <c r="I36" i="13"/>
  <c r="H36" i="13"/>
  <c r="G36" i="13"/>
  <c r="F36" i="13"/>
  <c r="E36" i="13"/>
  <c r="D36" i="13"/>
  <c r="M35" i="13"/>
  <c r="L35" i="13"/>
  <c r="K35" i="13"/>
  <c r="J35" i="13"/>
  <c r="P35" i="13" s="1"/>
  <c r="I35" i="13"/>
  <c r="H35" i="13"/>
  <c r="G35" i="13"/>
  <c r="F35" i="13"/>
  <c r="E35" i="13"/>
  <c r="D35" i="13"/>
  <c r="O35" i="13" s="1"/>
  <c r="M34" i="13"/>
  <c r="L34" i="13"/>
  <c r="K34" i="13"/>
  <c r="J34" i="13"/>
  <c r="P34" i="13" s="1"/>
  <c r="I34" i="13"/>
  <c r="H34" i="13"/>
  <c r="G34" i="13"/>
  <c r="F34" i="13"/>
  <c r="E34" i="13"/>
  <c r="D34" i="13"/>
  <c r="M33" i="13"/>
  <c r="L33" i="13"/>
  <c r="K33" i="13"/>
  <c r="J33" i="13"/>
  <c r="P33" i="13" s="1"/>
  <c r="I33" i="13"/>
  <c r="H33" i="13"/>
  <c r="G33" i="13"/>
  <c r="F33" i="13"/>
  <c r="E33" i="13"/>
  <c r="D33" i="13"/>
  <c r="O33" i="13" s="1"/>
  <c r="M32" i="13"/>
  <c r="L32" i="13"/>
  <c r="K32" i="13"/>
  <c r="J32" i="13"/>
  <c r="P32" i="13" s="1"/>
  <c r="I32" i="13"/>
  <c r="H32" i="13"/>
  <c r="G32" i="13"/>
  <c r="F32" i="13"/>
  <c r="E32" i="13"/>
  <c r="D32" i="13"/>
  <c r="M31" i="13"/>
  <c r="L31" i="13"/>
  <c r="K31" i="13"/>
  <c r="J31" i="13"/>
  <c r="P31" i="13" s="1"/>
  <c r="I31" i="13"/>
  <c r="H31" i="13"/>
  <c r="G31" i="13"/>
  <c r="F31" i="13"/>
  <c r="E31" i="13"/>
  <c r="D31" i="13"/>
  <c r="M30" i="13"/>
  <c r="L30" i="13"/>
  <c r="K30" i="13"/>
  <c r="J30" i="13"/>
  <c r="P30" i="13" s="1"/>
  <c r="I30" i="13"/>
  <c r="H30" i="13"/>
  <c r="G30" i="13"/>
  <c r="F30" i="13"/>
  <c r="E30" i="13"/>
  <c r="D30" i="13"/>
  <c r="M29" i="13"/>
  <c r="L29" i="13"/>
  <c r="K29" i="13"/>
  <c r="J29" i="13"/>
  <c r="P29" i="13" s="1"/>
  <c r="I29" i="13"/>
  <c r="H29" i="13"/>
  <c r="G29" i="13"/>
  <c r="F29" i="13"/>
  <c r="E29" i="13"/>
  <c r="D29" i="13"/>
  <c r="O29" i="13" s="1"/>
  <c r="M28" i="13"/>
  <c r="L28" i="13"/>
  <c r="K28" i="13"/>
  <c r="J28" i="13"/>
  <c r="P28" i="13" s="1"/>
  <c r="I28" i="13"/>
  <c r="H28" i="13"/>
  <c r="G28" i="13"/>
  <c r="F28" i="13"/>
  <c r="E28" i="13"/>
  <c r="D28" i="13"/>
  <c r="M27" i="13"/>
  <c r="L27" i="13"/>
  <c r="K27" i="13"/>
  <c r="J27" i="13"/>
  <c r="P27" i="13" s="1"/>
  <c r="I27" i="13"/>
  <c r="H27" i="13"/>
  <c r="G27" i="13"/>
  <c r="F27" i="13"/>
  <c r="E27" i="13"/>
  <c r="D27" i="13"/>
  <c r="O27" i="13" s="1"/>
  <c r="M26" i="13"/>
  <c r="L26" i="13"/>
  <c r="K26" i="13"/>
  <c r="J26" i="13"/>
  <c r="I26" i="13"/>
  <c r="H26" i="13"/>
  <c r="G26" i="13"/>
  <c r="E26" i="13"/>
  <c r="D26" i="13"/>
  <c r="M25" i="13"/>
  <c r="L25" i="13"/>
  <c r="K25" i="13"/>
  <c r="J25" i="13"/>
  <c r="I25" i="13"/>
  <c r="H25" i="13"/>
  <c r="G25" i="13"/>
  <c r="F25" i="13"/>
  <c r="E25" i="13"/>
  <c r="D25" i="13"/>
  <c r="M24" i="13"/>
  <c r="L24" i="13"/>
  <c r="K24" i="13"/>
  <c r="J24" i="13"/>
  <c r="P24" i="13" s="1"/>
  <c r="I24" i="13"/>
  <c r="H24" i="13"/>
  <c r="G24" i="13"/>
  <c r="F24" i="13"/>
  <c r="E24" i="13"/>
  <c r="D24" i="13"/>
  <c r="M23" i="13"/>
  <c r="L23" i="13"/>
  <c r="K23" i="13"/>
  <c r="J23" i="13"/>
  <c r="P23" i="13" s="1"/>
  <c r="I23" i="13"/>
  <c r="H23" i="13"/>
  <c r="G23" i="13"/>
  <c r="F23" i="13"/>
  <c r="E23" i="13"/>
  <c r="D23" i="13"/>
  <c r="O23" i="13" s="1"/>
  <c r="M22" i="13"/>
  <c r="L22" i="13"/>
  <c r="K22" i="13"/>
  <c r="J22" i="13"/>
  <c r="P22" i="13" s="1"/>
  <c r="I22" i="13"/>
  <c r="H22" i="13"/>
  <c r="G22" i="13"/>
  <c r="F22" i="13"/>
  <c r="E22" i="13"/>
  <c r="D22" i="13"/>
  <c r="M20" i="13"/>
  <c r="L20" i="13"/>
  <c r="K20" i="13"/>
  <c r="J20" i="13"/>
  <c r="P20" i="13" s="1"/>
  <c r="I20" i="13"/>
  <c r="H20" i="13"/>
  <c r="G20" i="13"/>
  <c r="F20" i="13"/>
  <c r="E20" i="13"/>
  <c r="D20" i="13"/>
  <c r="M16" i="13"/>
  <c r="L16" i="13"/>
  <c r="K16" i="13"/>
  <c r="J16" i="13"/>
  <c r="P16" i="13" s="1"/>
  <c r="I16" i="13"/>
  <c r="H16" i="13"/>
  <c r="G16" i="13"/>
  <c r="F16" i="13"/>
  <c r="E16" i="13"/>
  <c r="D16" i="13"/>
  <c r="O16" i="13" s="1"/>
  <c r="M8" i="13"/>
  <c r="L8" i="13"/>
  <c r="K8" i="13"/>
  <c r="J8" i="13"/>
  <c r="P8" i="13" s="1"/>
  <c r="I8" i="13"/>
  <c r="H8" i="13"/>
  <c r="G8" i="13"/>
  <c r="F8" i="13"/>
  <c r="E8" i="13"/>
  <c r="D8" i="13"/>
  <c r="O8" i="13" s="1"/>
  <c r="N138" i="13"/>
  <c r="M138" i="13"/>
  <c r="L138" i="13"/>
  <c r="B114" i="13"/>
  <c r="S89" i="13" s="1"/>
  <c r="F114" i="13" s="1"/>
  <c r="B152" i="13" s="1"/>
  <c r="A76" i="13"/>
  <c r="P41" i="13"/>
  <c r="O41" i="13"/>
  <c r="P40" i="13"/>
  <c r="O40" i="13"/>
  <c r="P39" i="13"/>
  <c r="O39" i="13"/>
  <c r="P38" i="13"/>
  <c r="O38" i="13"/>
  <c r="K48" i="13"/>
  <c r="P21" i="13"/>
  <c r="O21" i="13"/>
  <c r="A48" i="13"/>
  <c r="P19" i="13"/>
  <c r="O19" i="13"/>
  <c r="O18" i="13"/>
  <c r="O17" i="13"/>
  <c r="P17" i="13"/>
  <c r="P15" i="13"/>
  <c r="O15" i="13"/>
  <c r="O14" i="13"/>
  <c r="O13" i="13"/>
  <c r="P13" i="13"/>
  <c r="O12" i="13"/>
  <c r="P12" i="13"/>
  <c r="P11" i="13"/>
  <c r="O11" i="13"/>
  <c r="O10" i="13"/>
  <c r="O9" i="13"/>
  <c r="P9" i="13"/>
  <c r="P7" i="13"/>
  <c r="O7" i="13"/>
  <c r="O6" i="13"/>
  <c r="O5" i="13"/>
  <c r="P5" i="13"/>
  <c r="O4" i="13"/>
  <c r="P4" i="13"/>
  <c r="P3" i="13"/>
  <c r="O3" i="13"/>
  <c r="O2" i="13"/>
  <c r="P2" i="13"/>
  <c r="P42" i="13"/>
  <c r="P89" i="13" s="1"/>
  <c r="P152" i="13" s="1"/>
  <c r="A49" i="13"/>
  <c r="F142" i="12"/>
  <c r="E142" i="12"/>
  <c r="N141" i="12" s="1"/>
  <c r="D142" i="12"/>
  <c r="M141" i="12" s="1"/>
  <c r="C142" i="12"/>
  <c r="L141" i="12" s="1"/>
  <c r="F141" i="12"/>
  <c r="E141" i="12"/>
  <c r="N140" i="12" s="1"/>
  <c r="D141" i="12"/>
  <c r="M140" i="12" s="1"/>
  <c r="C141" i="12"/>
  <c r="L140" i="12" s="1"/>
  <c r="F140" i="12"/>
  <c r="E140" i="12"/>
  <c r="N139" i="12" s="1"/>
  <c r="D140" i="12"/>
  <c r="M139" i="12" s="1"/>
  <c r="C140" i="12"/>
  <c r="L139" i="12" s="1"/>
  <c r="F139" i="12"/>
  <c r="E139" i="12"/>
  <c r="D139" i="12"/>
  <c r="C139" i="12"/>
  <c r="F138" i="12"/>
  <c r="E138" i="12"/>
  <c r="D138" i="12"/>
  <c r="C138" i="12"/>
  <c r="F135" i="12"/>
  <c r="E135" i="12"/>
  <c r="D135" i="12"/>
  <c r="C135" i="12"/>
  <c r="F134" i="12"/>
  <c r="E134" i="12"/>
  <c r="D134" i="12"/>
  <c r="C134" i="12"/>
  <c r="F133" i="12"/>
  <c r="E133" i="12"/>
  <c r="D133" i="12"/>
  <c r="C133" i="12"/>
  <c r="F132" i="12"/>
  <c r="E132" i="12"/>
  <c r="D132" i="12"/>
  <c r="C132" i="12"/>
  <c r="F130" i="12"/>
  <c r="E130" i="12"/>
  <c r="D130" i="12"/>
  <c r="C130" i="12"/>
  <c r="F126" i="12"/>
  <c r="E126" i="12"/>
  <c r="D126" i="12"/>
  <c r="C126" i="12"/>
  <c r="K41" i="12"/>
  <c r="H41" i="12"/>
  <c r="G41" i="12"/>
  <c r="F41" i="12"/>
  <c r="E41" i="12"/>
  <c r="D41" i="12"/>
  <c r="K40" i="12"/>
  <c r="G40" i="12"/>
  <c r="G39" i="12"/>
  <c r="E39" i="12"/>
  <c r="D39" i="12"/>
  <c r="H38" i="12"/>
  <c r="G38" i="12"/>
  <c r="F38" i="12"/>
  <c r="E38" i="12"/>
  <c r="D38" i="12"/>
  <c r="M37" i="12"/>
  <c r="L37" i="12"/>
  <c r="K37" i="12"/>
  <c r="J37" i="12"/>
  <c r="P37" i="12" s="1"/>
  <c r="I37" i="12"/>
  <c r="H37" i="12"/>
  <c r="G37" i="12"/>
  <c r="F37" i="12"/>
  <c r="E37" i="12"/>
  <c r="D37" i="12"/>
  <c r="O37" i="12" s="1"/>
  <c r="M36" i="12"/>
  <c r="L36" i="12"/>
  <c r="K36" i="12"/>
  <c r="J36" i="12"/>
  <c r="P36" i="12" s="1"/>
  <c r="I36" i="12"/>
  <c r="H36" i="12"/>
  <c r="G36" i="12"/>
  <c r="F36" i="12"/>
  <c r="E36" i="12"/>
  <c r="D36" i="12"/>
  <c r="M35" i="12"/>
  <c r="L35" i="12"/>
  <c r="K35" i="12"/>
  <c r="J35" i="12"/>
  <c r="P35" i="12" s="1"/>
  <c r="I35" i="12"/>
  <c r="H35" i="12"/>
  <c r="G35" i="12"/>
  <c r="F35" i="12"/>
  <c r="E35" i="12"/>
  <c r="D35" i="12"/>
  <c r="O35" i="12" s="1"/>
  <c r="M34" i="12"/>
  <c r="L34" i="12"/>
  <c r="K34" i="12"/>
  <c r="J34" i="12"/>
  <c r="P34" i="12" s="1"/>
  <c r="I34" i="12"/>
  <c r="H34" i="12"/>
  <c r="G34" i="12"/>
  <c r="F34" i="12"/>
  <c r="E34" i="12"/>
  <c r="D34" i="12"/>
  <c r="O34" i="12" s="1"/>
  <c r="M33" i="12"/>
  <c r="L33" i="12"/>
  <c r="K33" i="12"/>
  <c r="J33" i="12"/>
  <c r="P33" i="12" s="1"/>
  <c r="I33" i="12"/>
  <c r="H33" i="12"/>
  <c r="G33" i="12"/>
  <c r="F33" i="12"/>
  <c r="E33" i="12"/>
  <c r="D33" i="12"/>
  <c r="O33" i="12" s="1"/>
  <c r="M32" i="12"/>
  <c r="L32" i="12"/>
  <c r="K32" i="12"/>
  <c r="J32" i="12"/>
  <c r="P32" i="12" s="1"/>
  <c r="I32" i="12"/>
  <c r="H32" i="12"/>
  <c r="G32" i="12"/>
  <c r="F32" i="12"/>
  <c r="E32" i="12"/>
  <c r="D32" i="12"/>
  <c r="M31" i="12"/>
  <c r="L31" i="12"/>
  <c r="K31" i="12"/>
  <c r="J31" i="12"/>
  <c r="P31" i="12" s="1"/>
  <c r="I31" i="12"/>
  <c r="H31" i="12"/>
  <c r="G31" i="12"/>
  <c r="F31" i="12"/>
  <c r="E31" i="12"/>
  <c r="D31" i="12"/>
  <c r="M30" i="12"/>
  <c r="L30" i="12"/>
  <c r="K30" i="12"/>
  <c r="J30" i="12"/>
  <c r="P30" i="12" s="1"/>
  <c r="I30" i="12"/>
  <c r="H30" i="12"/>
  <c r="G30" i="12"/>
  <c r="F30" i="12"/>
  <c r="E30" i="12"/>
  <c r="D30" i="12"/>
  <c r="O30" i="12" s="1"/>
  <c r="M29" i="12"/>
  <c r="L29" i="12"/>
  <c r="K29" i="12"/>
  <c r="J29" i="12"/>
  <c r="P29" i="12" s="1"/>
  <c r="I29" i="12"/>
  <c r="H29" i="12"/>
  <c r="G29" i="12"/>
  <c r="F29" i="12"/>
  <c r="E29" i="12"/>
  <c r="D29" i="12"/>
  <c r="O29" i="12" s="1"/>
  <c r="M28" i="12"/>
  <c r="L28" i="12"/>
  <c r="K28" i="12"/>
  <c r="J28" i="12"/>
  <c r="P28" i="12" s="1"/>
  <c r="I28" i="12"/>
  <c r="H28" i="12"/>
  <c r="G28" i="12"/>
  <c r="F28" i="12"/>
  <c r="E28" i="12"/>
  <c r="D28" i="12"/>
  <c r="M27" i="12"/>
  <c r="L27" i="12"/>
  <c r="K27" i="12"/>
  <c r="J27" i="12"/>
  <c r="P27" i="12" s="1"/>
  <c r="I27" i="12"/>
  <c r="H27" i="12"/>
  <c r="G27" i="12"/>
  <c r="F27" i="12"/>
  <c r="E27" i="12"/>
  <c r="D27" i="12"/>
  <c r="O27" i="12" s="1"/>
  <c r="M26" i="12"/>
  <c r="L26" i="12"/>
  <c r="K26" i="12"/>
  <c r="J26" i="12"/>
  <c r="I26" i="12"/>
  <c r="H26" i="12"/>
  <c r="G26" i="12"/>
  <c r="F26" i="12"/>
  <c r="E26" i="12"/>
  <c r="D26" i="12"/>
  <c r="M25" i="12"/>
  <c r="L25" i="12"/>
  <c r="K25" i="12"/>
  <c r="J25" i="12"/>
  <c r="I25" i="12"/>
  <c r="H25" i="12"/>
  <c r="G25" i="12"/>
  <c r="F25" i="12"/>
  <c r="E25" i="12"/>
  <c r="D25" i="12"/>
  <c r="M24" i="12"/>
  <c r="L24" i="12"/>
  <c r="K24" i="12"/>
  <c r="J24" i="12"/>
  <c r="P24" i="12" s="1"/>
  <c r="I24" i="12"/>
  <c r="H24" i="12"/>
  <c r="G24" i="12"/>
  <c r="F24" i="12"/>
  <c r="E24" i="12"/>
  <c r="D24" i="12"/>
  <c r="M23" i="12"/>
  <c r="L23" i="12"/>
  <c r="K23" i="12"/>
  <c r="J23" i="12"/>
  <c r="P23" i="12" s="1"/>
  <c r="I23" i="12"/>
  <c r="H23" i="12"/>
  <c r="G23" i="12"/>
  <c r="F23" i="12"/>
  <c r="E23" i="12"/>
  <c r="D23" i="12"/>
  <c r="O23" i="12" s="1"/>
  <c r="M22" i="12"/>
  <c r="L22" i="12"/>
  <c r="K22" i="12"/>
  <c r="J22" i="12"/>
  <c r="P22" i="12" s="1"/>
  <c r="I22" i="12"/>
  <c r="H22" i="12"/>
  <c r="G22" i="12"/>
  <c r="F22" i="12"/>
  <c r="E22" i="12"/>
  <c r="D22" i="12"/>
  <c r="O22" i="12" s="1"/>
  <c r="M20" i="12"/>
  <c r="L20" i="12"/>
  <c r="K20" i="12"/>
  <c r="J20" i="12"/>
  <c r="P20" i="12" s="1"/>
  <c r="I20" i="12"/>
  <c r="H20" i="12"/>
  <c r="G20" i="12"/>
  <c r="F20" i="12"/>
  <c r="E20" i="12"/>
  <c r="D20" i="12"/>
  <c r="M16" i="12"/>
  <c r="L16" i="12"/>
  <c r="K16" i="12"/>
  <c r="J16" i="12"/>
  <c r="P16" i="12" s="1"/>
  <c r="I16" i="12"/>
  <c r="H16" i="12"/>
  <c r="G16" i="12"/>
  <c r="F16" i="12"/>
  <c r="E16" i="12"/>
  <c r="D16" i="12"/>
  <c r="O16" i="12" s="1"/>
  <c r="M8" i="12"/>
  <c r="L8" i="12"/>
  <c r="K8" i="12"/>
  <c r="J8" i="12"/>
  <c r="P8" i="12" s="1"/>
  <c r="I8" i="12"/>
  <c r="H8" i="12"/>
  <c r="G8" i="12"/>
  <c r="F8" i="12"/>
  <c r="E8" i="12"/>
  <c r="D8" i="12"/>
  <c r="O8" i="12" s="1"/>
  <c r="N138" i="12"/>
  <c r="M138" i="12"/>
  <c r="L138" i="12"/>
  <c r="B114" i="12"/>
  <c r="B89" i="12" s="1"/>
  <c r="B42" i="12" s="1"/>
  <c r="F76" i="12"/>
  <c r="P41" i="12"/>
  <c r="O41" i="12"/>
  <c r="P40" i="12"/>
  <c r="O40" i="12"/>
  <c r="P39" i="12"/>
  <c r="O39" i="12"/>
  <c r="P38" i="12"/>
  <c r="O38" i="12"/>
  <c r="K48" i="12"/>
  <c r="A49" i="12"/>
  <c r="P21" i="12"/>
  <c r="O21" i="12"/>
  <c r="A48" i="12"/>
  <c r="P19" i="12"/>
  <c r="O19" i="12"/>
  <c r="O18" i="12"/>
  <c r="P17" i="12"/>
  <c r="O17" i="12"/>
  <c r="P15" i="12"/>
  <c r="O15" i="12"/>
  <c r="O14" i="12"/>
  <c r="P13" i="12"/>
  <c r="O13" i="12"/>
  <c r="O12" i="12"/>
  <c r="P12" i="12"/>
  <c r="P11" i="12"/>
  <c r="O11" i="12"/>
  <c r="O10" i="12"/>
  <c r="P9" i="12"/>
  <c r="O9" i="12"/>
  <c r="P7" i="12"/>
  <c r="O7" i="12"/>
  <c r="O6" i="12"/>
  <c r="P5" i="12"/>
  <c r="O5" i="12"/>
  <c r="O4" i="12"/>
  <c r="P4" i="12"/>
  <c r="P3" i="12"/>
  <c r="O3" i="12"/>
  <c r="O2" i="12"/>
  <c r="P2" i="12"/>
  <c r="P42" i="12"/>
  <c r="P89" i="12" s="1"/>
  <c r="P152" i="12" s="1"/>
  <c r="K62" i="12"/>
  <c r="F142" i="11"/>
  <c r="E142" i="11"/>
  <c r="N141" i="11" s="1"/>
  <c r="D142" i="11"/>
  <c r="M141" i="11" s="1"/>
  <c r="C142" i="11"/>
  <c r="L141" i="11" s="1"/>
  <c r="F141" i="11"/>
  <c r="E141" i="11"/>
  <c r="N140" i="11" s="1"/>
  <c r="D141" i="11"/>
  <c r="M140" i="11" s="1"/>
  <c r="C141" i="11"/>
  <c r="L140" i="11" s="1"/>
  <c r="F140" i="11"/>
  <c r="E140" i="11"/>
  <c r="N139" i="11" s="1"/>
  <c r="D140" i="11"/>
  <c r="M139" i="11" s="1"/>
  <c r="C140" i="11"/>
  <c r="L139" i="11" s="1"/>
  <c r="F139" i="11"/>
  <c r="E139" i="11"/>
  <c r="D139" i="11"/>
  <c r="C139" i="11"/>
  <c r="F138" i="11"/>
  <c r="E138" i="11"/>
  <c r="D138" i="11"/>
  <c r="C138" i="11"/>
  <c r="F135" i="11"/>
  <c r="E135" i="11"/>
  <c r="D135" i="11"/>
  <c r="C135" i="11"/>
  <c r="F134" i="11"/>
  <c r="E134" i="11"/>
  <c r="D134" i="11"/>
  <c r="C134" i="11"/>
  <c r="F133" i="11"/>
  <c r="E133" i="11"/>
  <c r="D133" i="11"/>
  <c r="C133" i="11"/>
  <c r="F132" i="11"/>
  <c r="E132" i="11"/>
  <c r="D132" i="11"/>
  <c r="C132" i="11"/>
  <c r="F130" i="11"/>
  <c r="E130" i="11"/>
  <c r="D130" i="11"/>
  <c r="C130" i="11"/>
  <c r="F126" i="11"/>
  <c r="E126" i="11"/>
  <c r="D126" i="11"/>
  <c r="C126" i="11"/>
  <c r="M41" i="11"/>
  <c r="L41" i="11"/>
  <c r="K41" i="11"/>
  <c r="J41" i="11"/>
  <c r="I41" i="11"/>
  <c r="H41" i="11"/>
  <c r="G41" i="11"/>
  <c r="F41" i="11"/>
  <c r="E41" i="11"/>
  <c r="M40" i="11"/>
  <c r="L40" i="11"/>
  <c r="K40" i="11"/>
  <c r="J40" i="11"/>
  <c r="I40" i="11"/>
  <c r="H40" i="11"/>
  <c r="G40" i="11"/>
  <c r="F40" i="11"/>
  <c r="E40" i="11"/>
  <c r="M39" i="11"/>
  <c r="L39" i="11"/>
  <c r="K39" i="11"/>
  <c r="J39" i="11"/>
  <c r="I39" i="11"/>
  <c r="H39" i="11"/>
  <c r="G39" i="11"/>
  <c r="F39" i="11"/>
  <c r="M38" i="11"/>
  <c r="L38" i="11"/>
  <c r="K38" i="11"/>
  <c r="J38" i="11"/>
  <c r="I38" i="11"/>
  <c r="H38" i="11"/>
  <c r="G38" i="11"/>
  <c r="F38" i="11"/>
  <c r="E38" i="11"/>
  <c r="M37" i="11"/>
  <c r="L37" i="11"/>
  <c r="K37" i="11"/>
  <c r="J37" i="11"/>
  <c r="P37" i="11" s="1"/>
  <c r="I37" i="11"/>
  <c r="H37" i="11"/>
  <c r="G37" i="11"/>
  <c r="F37" i="11"/>
  <c r="E37" i="11"/>
  <c r="D37" i="11"/>
  <c r="O37" i="11" s="1"/>
  <c r="M36" i="11"/>
  <c r="L36" i="11"/>
  <c r="K36" i="11"/>
  <c r="J36" i="11"/>
  <c r="I36" i="11"/>
  <c r="H36" i="11"/>
  <c r="G36" i="11"/>
  <c r="F36" i="11"/>
  <c r="E36" i="11"/>
  <c r="D36" i="11"/>
  <c r="M35" i="11"/>
  <c r="L35" i="11"/>
  <c r="K35" i="11"/>
  <c r="J35" i="11"/>
  <c r="P35" i="11" s="1"/>
  <c r="I35" i="11"/>
  <c r="H35" i="11"/>
  <c r="G35" i="11"/>
  <c r="F35" i="11"/>
  <c r="E35" i="11"/>
  <c r="D35" i="11"/>
  <c r="O35" i="11" s="1"/>
  <c r="M34" i="11"/>
  <c r="L34" i="11"/>
  <c r="K34" i="11"/>
  <c r="J34" i="11"/>
  <c r="P34" i="11" s="1"/>
  <c r="I34" i="11"/>
  <c r="H34" i="11"/>
  <c r="G34" i="11"/>
  <c r="F34" i="11"/>
  <c r="E34" i="11"/>
  <c r="D34" i="11"/>
  <c r="M33" i="11"/>
  <c r="L33" i="11"/>
  <c r="K33" i="11"/>
  <c r="J33" i="11"/>
  <c r="P33" i="11" s="1"/>
  <c r="I33" i="11"/>
  <c r="H33" i="11"/>
  <c r="G33" i="11"/>
  <c r="F33" i="11"/>
  <c r="E33" i="11"/>
  <c r="D33" i="11"/>
  <c r="O33" i="11" s="1"/>
  <c r="M32" i="11"/>
  <c r="L32" i="11"/>
  <c r="K32" i="11"/>
  <c r="J32" i="11"/>
  <c r="P32" i="11" s="1"/>
  <c r="I32" i="11"/>
  <c r="H32" i="11"/>
  <c r="G32" i="11"/>
  <c r="F32" i="11"/>
  <c r="E32" i="11"/>
  <c r="D32" i="11"/>
  <c r="M31" i="11"/>
  <c r="L31" i="11"/>
  <c r="K31" i="11"/>
  <c r="J31" i="11"/>
  <c r="P31" i="11" s="1"/>
  <c r="I31" i="11"/>
  <c r="H31" i="11"/>
  <c r="G31" i="11"/>
  <c r="F31" i="11"/>
  <c r="E31" i="11"/>
  <c r="D31" i="11"/>
  <c r="O31" i="11" s="1"/>
  <c r="M30" i="11"/>
  <c r="L30" i="11"/>
  <c r="K30" i="11"/>
  <c r="J30" i="11"/>
  <c r="P30" i="11" s="1"/>
  <c r="I30" i="11"/>
  <c r="H30" i="11"/>
  <c r="G30" i="11"/>
  <c r="F30" i="11"/>
  <c r="E30" i="11"/>
  <c r="D30" i="11"/>
  <c r="M29" i="11"/>
  <c r="L29" i="11"/>
  <c r="K29" i="11"/>
  <c r="J29" i="11"/>
  <c r="P29" i="11" s="1"/>
  <c r="I29" i="11"/>
  <c r="H29" i="11"/>
  <c r="G29" i="11"/>
  <c r="F29" i="11"/>
  <c r="E29" i="11"/>
  <c r="D29" i="11"/>
  <c r="O29" i="11" s="1"/>
  <c r="M28" i="11"/>
  <c r="L28" i="11"/>
  <c r="K28" i="11"/>
  <c r="J28" i="11"/>
  <c r="P28" i="11" s="1"/>
  <c r="I28" i="11"/>
  <c r="H28" i="11"/>
  <c r="G28" i="11"/>
  <c r="F28" i="11"/>
  <c r="E28" i="11"/>
  <c r="D28" i="11"/>
  <c r="M27" i="11"/>
  <c r="L27" i="11"/>
  <c r="K27" i="11"/>
  <c r="J27" i="11"/>
  <c r="P27" i="11" s="1"/>
  <c r="I27" i="11"/>
  <c r="H27" i="11"/>
  <c r="G27" i="11"/>
  <c r="F27" i="11"/>
  <c r="E27" i="11"/>
  <c r="D27" i="11"/>
  <c r="M26" i="11"/>
  <c r="L26" i="11"/>
  <c r="K26" i="11"/>
  <c r="J26" i="11"/>
  <c r="I26" i="11"/>
  <c r="H26" i="11"/>
  <c r="G26" i="11"/>
  <c r="F26" i="11"/>
  <c r="E26" i="11"/>
  <c r="D26" i="11"/>
  <c r="M25" i="11"/>
  <c r="L25" i="11"/>
  <c r="K25" i="11"/>
  <c r="J25" i="11"/>
  <c r="I25" i="11"/>
  <c r="H25" i="11"/>
  <c r="G25" i="11"/>
  <c r="F25" i="11"/>
  <c r="E25" i="11"/>
  <c r="D25" i="11"/>
  <c r="M24" i="11"/>
  <c r="L24" i="11"/>
  <c r="K24" i="11"/>
  <c r="J24" i="11"/>
  <c r="P24" i="11" s="1"/>
  <c r="I24" i="11"/>
  <c r="H24" i="11"/>
  <c r="G24" i="11"/>
  <c r="F24" i="11"/>
  <c r="E24" i="11"/>
  <c r="D24" i="11"/>
  <c r="M23" i="11"/>
  <c r="L23" i="11"/>
  <c r="K23" i="11"/>
  <c r="J23" i="11"/>
  <c r="P23" i="11" s="1"/>
  <c r="I23" i="11"/>
  <c r="H23" i="11"/>
  <c r="G23" i="11"/>
  <c r="F23" i="11"/>
  <c r="E23" i="11"/>
  <c r="D23" i="11"/>
  <c r="O23" i="11" s="1"/>
  <c r="M22" i="11"/>
  <c r="L22" i="11"/>
  <c r="K22" i="11"/>
  <c r="J22" i="11"/>
  <c r="P22" i="11" s="1"/>
  <c r="I22" i="11"/>
  <c r="H22" i="11"/>
  <c r="G22" i="11"/>
  <c r="F22" i="11"/>
  <c r="E22" i="11"/>
  <c r="D22" i="11"/>
  <c r="M20" i="11"/>
  <c r="L20" i="11"/>
  <c r="K20" i="11"/>
  <c r="J20" i="11"/>
  <c r="P20" i="11" s="1"/>
  <c r="I20" i="11"/>
  <c r="H20" i="11"/>
  <c r="G20" i="11"/>
  <c r="F20" i="11"/>
  <c r="E20" i="11"/>
  <c r="D20" i="11"/>
  <c r="M16" i="11"/>
  <c r="L16" i="11"/>
  <c r="K16" i="11"/>
  <c r="J16" i="11"/>
  <c r="P16" i="11" s="1"/>
  <c r="I16" i="11"/>
  <c r="H16" i="11"/>
  <c r="G16" i="11"/>
  <c r="F16" i="11"/>
  <c r="E16" i="11"/>
  <c r="D16" i="11"/>
  <c r="O16" i="11" s="1"/>
  <c r="M8" i="11"/>
  <c r="L8" i="11"/>
  <c r="K8" i="11"/>
  <c r="J8" i="11"/>
  <c r="P8" i="11" s="1"/>
  <c r="I8" i="11"/>
  <c r="H8" i="11"/>
  <c r="G8" i="11"/>
  <c r="F8" i="11"/>
  <c r="E8" i="11"/>
  <c r="D8" i="11"/>
  <c r="O8" i="11" s="1"/>
  <c r="N138" i="11"/>
  <c r="M138" i="11"/>
  <c r="L138" i="11"/>
  <c r="B114" i="11"/>
  <c r="B89" i="11" s="1"/>
  <c r="B42" i="11" s="1"/>
  <c r="A76" i="11"/>
  <c r="P41" i="11"/>
  <c r="O41" i="11"/>
  <c r="P40" i="11"/>
  <c r="O40" i="11"/>
  <c r="P39" i="11"/>
  <c r="O39" i="11"/>
  <c r="P38" i="11"/>
  <c r="O38" i="11"/>
  <c r="K48" i="11"/>
  <c r="A49" i="11"/>
  <c r="P21" i="11"/>
  <c r="O21" i="11"/>
  <c r="P19" i="11"/>
  <c r="O19" i="11"/>
  <c r="O18" i="11"/>
  <c r="O17" i="11"/>
  <c r="P17" i="11"/>
  <c r="P15" i="11"/>
  <c r="O15" i="11"/>
  <c r="O14" i="11"/>
  <c r="O13" i="11"/>
  <c r="P13" i="11"/>
  <c r="O12" i="11"/>
  <c r="P12" i="11"/>
  <c r="P11" i="11"/>
  <c r="O11" i="11"/>
  <c r="O10" i="11"/>
  <c r="O9" i="11"/>
  <c r="P9" i="11"/>
  <c r="P7" i="11"/>
  <c r="O7" i="11"/>
  <c r="O6" i="11"/>
  <c r="O5" i="11"/>
  <c r="P5" i="11"/>
  <c r="O4" i="11"/>
  <c r="P4" i="11"/>
  <c r="P3" i="11"/>
  <c r="O3" i="11"/>
  <c r="O2" i="11"/>
  <c r="P2" i="11"/>
  <c r="P42" i="11"/>
  <c r="P89" i="11" s="1"/>
  <c r="P152" i="11" s="1"/>
  <c r="F76" i="11"/>
  <c r="F142" i="9"/>
  <c r="E142" i="9"/>
  <c r="N141" i="9" s="1"/>
  <c r="D142" i="9"/>
  <c r="M141" i="9" s="1"/>
  <c r="C142" i="9"/>
  <c r="L141" i="9" s="1"/>
  <c r="F141" i="9"/>
  <c r="E141" i="9"/>
  <c r="N140" i="9" s="1"/>
  <c r="D141" i="9"/>
  <c r="M140" i="9" s="1"/>
  <c r="C141" i="9"/>
  <c r="L140" i="9" s="1"/>
  <c r="F140" i="9"/>
  <c r="E140" i="9"/>
  <c r="N139" i="9" s="1"/>
  <c r="D140" i="9"/>
  <c r="M139" i="9" s="1"/>
  <c r="C140" i="9"/>
  <c r="L139" i="9" s="1"/>
  <c r="F139" i="9"/>
  <c r="E139" i="9"/>
  <c r="D139" i="9"/>
  <c r="C139" i="9"/>
  <c r="F138" i="9"/>
  <c r="E138" i="9"/>
  <c r="D138" i="9"/>
  <c r="C138" i="9"/>
  <c r="F135" i="9"/>
  <c r="E135" i="9"/>
  <c r="D135" i="9"/>
  <c r="C135" i="9"/>
  <c r="F134" i="9"/>
  <c r="E134" i="9"/>
  <c r="D134" i="9"/>
  <c r="C134" i="9"/>
  <c r="F133" i="9"/>
  <c r="E133" i="9"/>
  <c r="D133" i="9"/>
  <c r="C133" i="9"/>
  <c r="F132" i="9"/>
  <c r="E132" i="9"/>
  <c r="D132" i="9"/>
  <c r="C132" i="9"/>
  <c r="F130" i="9"/>
  <c r="E130" i="9"/>
  <c r="D130" i="9"/>
  <c r="C130" i="9"/>
  <c r="F126" i="9"/>
  <c r="E126" i="9"/>
  <c r="D126" i="9"/>
  <c r="C126" i="9"/>
  <c r="M41" i="9"/>
  <c r="L41" i="9"/>
  <c r="K41" i="9"/>
  <c r="J41" i="9"/>
  <c r="I41" i="9"/>
  <c r="H41" i="9"/>
  <c r="G41" i="9"/>
  <c r="F41" i="9"/>
  <c r="E41" i="9"/>
  <c r="D41" i="9"/>
  <c r="M40" i="9"/>
  <c r="L40" i="9"/>
  <c r="K40" i="9"/>
  <c r="I40" i="9"/>
  <c r="H40" i="9"/>
  <c r="G40" i="9"/>
  <c r="L39" i="9"/>
  <c r="J39" i="9"/>
  <c r="I39" i="9"/>
  <c r="H39" i="9"/>
  <c r="G39" i="9"/>
  <c r="D39" i="9"/>
  <c r="M38" i="9"/>
  <c r="L38" i="9"/>
  <c r="K38" i="9"/>
  <c r="J38" i="9"/>
  <c r="I38" i="9"/>
  <c r="H38" i="9"/>
  <c r="G38" i="9"/>
  <c r="F38" i="9"/>
  <c r="E38" i="9"/>
  <c r="D38" i="9"/>
  <c r="M37" i="9"/>
  <c r="L37" i="9"/>
  <c r="K37" i="9"/>
  <c r="J37" i="9"/>
  <c r="P37" i="9" s="1"/>
  <c r="I37" i="9"/>
  <c r="H37" i="9"/>
  <c r="G37" i="9"/>
  <c r="F37" i="9"/>
  <c r="E37" i="9"/>
  <c r="D37" i="9"/>
  <c r="O37" i="9" s="1"/>
  <c r="M36" i="9"/>
  <c r="L36" i="9"/>
  <c r="K36" i="9"/>
  <c r="J36" i="9"/>
  <c r="I36" i="9"/>
  <c r="H36" i="9"/>
  <c r="G36" i="9"/>
  <c r="F36" i="9"/>
  <c r="E36" i="9"/>
  <c r="D36" i="9"/>
  <c r="M35" i="9"/>
  <c r="L35" i="9"/>
  <c r="K35" i="9"/>
  <c r="J35" i="9"/>
  <c r="P35" i="9" s="1"/>
  <c r="I35" i="9"/>
  <c r="H35" i="9"/>
  <c r="G35" i="9"/>
  <c r="F35" i="9"/>
  <c r="E35" i="9"/>
  <c r="D35" i="9"/>
  <c r="O35" i="9" s="1"/>
  <c r="M34" i="9"/>
  <c r="L34" i="9"/>
  <c r="K34" i="9"/>
  <c r="J34" i="9"/>
  <c r="P34" i="9" s="1"/>
  <c r="I34" i="9"/>
  <c r="H34" i="9"/>
  <c r="G34" i="9"/>
  <c r="F34" i="9"/>
  <c r="E34" i="9"/>
  <c r="D34" i="9"/>
  <c r="M33" i="9"/>
  <c r="L33" i="9"/>
  <c r="K33" i="9"/>
  <c r="J33" i="9"/>
  <c r="P33" i="9" s="1"/>
  <c r="I33" i="9"/>
  <c r="H33" i="9"/>
  <c r="G33" i="9"/>
  <c r="F33" i="9"/>
  <c r="E33" i="9"/>
  <c r="D33" i="9"/>
  <c r="O33" i="9" s="1"/>
  <c r="M32" i="9"/>
  <c r="L32" i="9"/>
  <c r="K32" i="9"/>
  <c r="J32" i="9"/>
  <c r="P32" i="9" s="1"/>
  <c r="I32" i="9"/>
  <c r="H32" i="9"/>
  <c r="G32" i="9"/>
  <c r="F32" i="9"/>
  <c r="E32" i="9"/>
  <c r="D32" i="9"/>
  <c r="M31" i="9"/>
  <c r="L31" i="9"/>
  <c r="K31" i="9"/>
  <c r="J31" i="9"/>
  <c r="P31" i="9" s="1"/>
  <c r="I31" i="9"/>
  <c r="H31" i="9"/>
  <c r="G31" i="9"/>
  <c r="F31" i="9"/>
  <c r="E31" i="9"/>
  <c r="D31" i="9"/>
  <c r="O31" i="9" s="1"/>
  <c r="M30" i="9"/>
  <c r="L30" i="9"/>
  <c r="K30" i="9"/>
  <c r="J30" i="9"/>
  <c r="P30" i="9" s="1"/>
  <c r="I30" i="9"/>
  <c r="H30" i="9"/>
  <c r="G30" i="9"/>
  <c r="F30" i="9"/>
  <c r="E30" i="9"/>
  <c r="D30" i="9"/>
  <c r="M29" i="9"/>
  <c r="L29" i="9"/>
  <c r="K29" i="9"/>
  <c r="J29" i="9"/>
  <c r="P29" i="9" s="1"/>
  <c r="I29" i="9"/>
  <c r="H29" i="9"/>
  <c r="G29" i="9"/>
  <c r="F29" i="9"/>
  <c r="E29" i="9"/>
  <c r="D29" i="9"/>
  <c r="O29" i="9" s="1"/>
  <c r="M28" i="9"/>
  <c r="J28" i="9"/>
  <c r="H28" i="9"/>
  <c r="G28" i="9"/>
  <c r="D28" i="9"/>
  <c r="M27" i="9"/>
  <c r="L27" i="9"/>
  <c r="K27" i="9"/>
  <c r="J27" i="9"/>
  <c r="P27" i="9" s="1"/>
  <c r="I27" i="9"/>
  <c r="H27" i="9"/>
  <c r="G27" i="9"/>
  <c r="F27" i="9"/>
  <c r="E27" i="9"/>
  <c r="D27" i="9"/>
  <c r="O27" i="9" s="1"/>
  <c r="M26" i="9"/>
  <c r="L26" i="9"/>
  <c r="K26" i="9"/>
  <c r="J26" i="9"/>
  <c r="I26" i="9"/>
  <c r="H26" i="9"/>
  <c r="G26" i="9"/>
  <c r="F26" i="9"/>
  <c r="E26" i="9"/>
  <c r="D26" i="9"/>
  <c r="M25" i="9"/>
  <c r="L25" i="9"/>
  <c r="K25" i="9"/>
  <c r="J25" i="9"/>
  <c r="I25" i="9"/>
  <c r="H25" i="9"/>
  <c r="G25" i="9"/>
  <c r="F25" i="9"/>
  <c r="E25" i="9"/>
  <c r="D25" i="9"/>
  <c r="M24" i="9"/>
  <c r="L24" i="9"/>
  <c r="K24" i="9"/>
  <c r="J24" i="9"/>
  <c r="P24" i="9" s="1"/>
  <c r="I24" i="9"/>
  <c r="H24" i="9"/>
  <c r="G24" i="9"/>
  <c r="F24" i="9"/>
  <c r="E24" i="9"/>
  <c r="D24" i="9"/>
  <c r="M23" i="9"/>
  <c r="L23" i="9"/>
  <c r="K23" i="9"/>
  <c r="J23" i="9"/>
  <c r="P23" i="9" s="1"/>
  <c r="I23" i="9"/>
  <c r="H23" i="9"/>
  <c r="G23" i="9"/>
  <c r="F23" i="9"/>
  <c r="E23" i="9"/>
  <c r="D23" i="9"/>
  <c r="O23" i="9" s="1"/>
  <c r="M22" i="9"/>
  <c r="L22" i="9"/>
  <c r="K22" i="9"/>
  <c r="J22" i="9"/>
  <c r="P22" i="9" s="1"/>
  <c r="I22" i="9"/>
  <c r="H22" i="9"/>
  <c r="G22" i="9"/>
  <c r="F22" i="9"/>
  <c r="E22" i="9"/>
  <c r="D22" i="9"/>
  <c r="M20" i="9"/>
  <c r="L20" i="9"/>
  <c r="K20" i="9"/>
  <c r="J20" i="9"/>
  <c r="P20" i="9" s="1"/>
  <c r="I20" i="9"/>
  <c r="H20" i="9"/>
  <c r="G20" i="9"/>
  <c r="F20" i="9"/>
  <c r="E20" i="9"/>
  <c r="D20" i="9"/>
  <c r="M16" i="9"/>
  <c r="L16" i="9"/>
  <c r="K16" i="9"/>
  <c r="J16" i="9"/>
  <c r="P16" i="9" s="1"/>
  <c r="I16" i="9"/>
  <c r="H16" i="9"/>
  <c r="G16" i="9"/>
  <c r="F16" i="9"/>
  <c r="E16" i="9"/>
  <c r="D16" i="9"/>
  <c r="O16" i="9" s="1"/>
  <c r="M8" i="9"/>
  <c r="L8" i="9"/>
  <c r="K8" i="9"/>
  <c r="J8" i="9"/>
  <c r="P8" i="9" s="1"/>
  <c r="I8" i="9"/>
  <c r="H8" i="9"/>
  <c r="G8" i="9"/>
  <c r="F8" i="9"/>
  <c r="E8" i="9"/>
  <c r="D8" i="9"/>
  <c r="O8" i="9" s="1"/>
  <c r="N138" i="9"/>
  <c r="M138" i="9"/>
  <c r="L138" i="9"/>
  <c r="B114" i="9"/>
  <c r="S89" i="9" s="1"/>
  <c r="F114" i="9" s="1"/>
  <c r="B152" i="9" s="1"/>
  <c r="A76" i="9"/>
  <c r="P41" i="9"/>
  <c r="O41" i="9"/>
  <c r="P40" i="9"/>
  <c r="O40" i="9"/>
  <c r="P39" i="9"/>
  <c r="O39" i="9"/>
  <c r="P38" i="9"/>
  <c r="O38" i="9"/>
  <c r="P28" i="9"/>
  <c r="K48" i="9"/>
  <c r="B62" i="9"/>
  <c r="A49" i="9"/>
  <c r="P21" i="9"/>
  <c r="O21" i="9"/>
  <c r="A48" i="9"/>
  <c r="O19" i="9"/>
  <c r="P19" i="9"/>
  <c r="O18" i="9"/>
  <c r="P18" i="9"/>
  <c r="O17" i="9"/>
  <c r="P17" i="9"/>
  <c r="O15" i="9"/>
  <c r="P15" i="9"/>
  <c r="O14" i="9"/>
  <c r="P14" i="9"/>
  <c r="O13" i="9"/>
  <c r="P13" i="9"/>
  <c r="O12" i="9"/>
  <c r="P12" i="9"/>
  <c r="O11" i="9"/>
  <c r="P11" i="9"/>
  <c r="O10" i="9"/>
  <c r="P10" i="9"/>
  <c r="O9" i="9"/>
  <c r="P9" i="9"/>
  <c r="O7" i="9"/>
  <c r="P7" i="9"/>
  <c r="O6" i="9"/>
  <c r="P6" i="9"/>
  <c r="O5" i="9"/>
  <c r="P5" i="9"/>
  <c r="O4" i="9"/>
  <c r="P4" i="9"/>
  <c r="O3" i="9"/>
  <c r="O2" i="9"/>
  <c r="P2" i="9"/>
  <c r="P42" i="9"/>
  <c r="P89" i="9" s="1"/>
  <c r="P152" i="9" s="1"/>
  <c r="F76" i="9"/>
  <c r="F142" i="8"/>
  <c r="E142" i="8"/>
  <c r="N141" i="8" s="1"/>
  <c r="D142" i="8"/>
  <c r="M141" i="8" s="1"/>
  <c r="C142" i="8"/>
  <c r="L141" i="8" s="1"/>
  <c r="F141" i="8"/>
  <c r="E141" i="8"/>
  <c r="N140" i="8" s="1"/>
  <c r="D141" i="8"/>
  <c r="M140" i="8" s="1"/>
  <c r="C141" i="8"/>
  <c r="L140" i="8" s="1"/>
  <c r="F140" i="8"/>
  <c r="E140" i="8"/>
  <c r="N139" i="8" s="1"/>
  <c r="D140" i="8"/>
  <c r="M139" i="8" s="1"/>
  <c r="C140" i="8"/>
  <c r="L139" i="8" s="1"/>
  <c r="F139" i="8"/>
  <c r="E139" i="8"/>
  <c r="D139" i="8"/>
  <c r="C139" i="8"/>
  <c r="F138" i="8"/>
  <c r="E138" i="8"/>
  <c r="D138" i="8"/>
  <c r="C138" i="8"/>
  <c r="F135" i="8"/>
  <c r="E135" i="8"/>
  <c r="D135" i="8"/>
  <c r="C135" i="8"/>
  <c r="F134" i="8"/>
  <c r="E134" i="8"/>
  <c r="D134" i="8"/>
  <c r="C134" i="8"/>
  <c r="F133" i="8"/>
  <c r="E133" i="8"/>
  <c r="D133" i="8"/>
  <c r="C133" i="8"/>
  <c r="F132" i="8"/>
  <c r="E132" i="8"/>
  <c r="D132" i="8"/>
  <c r="C132" i="8"/>
  <c r="F130" i="8"/>
  <c r="E130" i="8"/>
  <c r="D130" i="8"/>
  <c r="C130" i="8"/>
  <c r="F126" i="8"/>
  <c r="E126" i="8"/>
  <c r="D126" i="8"/>
  <c r="C126" i="8"/>
  <c r="M41" i="8"/>
  <c r="L41" i="8"/>
  <c r="K41" i="8"/>
  <c r="J41" i="8"/>
  <c r="I41" i="8"/>
  <c r="H41" i="8"/>
  <c r="G41" i="8"/>
  <c r="F41" i="8"/>
  <c r="E41" i="8"/>
  <c r="D41" i="8"/>
  <c r="M40" i="8"/>
  <c r="L40" i="8"/>
  <c r="K40" i="8"/>
  <c r="J40" i="8"/>
  <c r="I40" i="8"/>
  <c r="H40" i="8"/>
  <c r="G40" i="8"/>
  <c r="F40" i="8"/>
  <c r="E40" i="8"/>
  <c r="D40" i="8"/>
  <c r="M39" i="8"/>
  <c r="L39" i="8"/>
  <c r="K39" i="8"/>
  <c r="J39" i="8"/>
  <c r="I39" i="8"/>
  <c r="H39" i="8"/>
  <c r="G39" i="8"/>
  <c r="F39" i="8"/>
  <c r="E39" i="8"/>
  <c r="D39" i="8"/>
  <c r="M38" i="8"/>
  <c r="L38" i="8"/>
  <c r="K38" i="8"/>
  <c r="J38" i="8"/>
  <c r="I38" i="8"/>
  <c r="H38" i="8"/>
  <c r="G38" i="8"/>
  <c r="F38" i="8"/>
  <c r="E38" i="8"/>
  <c r="D38" i="8"/>
  <c r="M37" i="8"/>
  <c r="L37" i="8"/>
  <c r="K37" i="8"/>
  <c r="J37" i="8"/>
  <c r="P37" i="8" s="1"/>
  <c r="I37" i="8"/>
  <c r="H37" i="8"/>
  <c r="G37" i="8"/>
  <c r="F37" i="8"/>
  <c r="E37" i="8"/>
  <c r="D37" i="8"/>
  <c r="M36" i="8"/>
  <c r="L36" i="8"/>
  <c r="K36" i="8"/>
  <c r="J36" i="8"/>
  <c r="I36" i="8"/>
  <c r="H36" i="8"/>
  <c r="G36" i="8"/>
  <c r="F36" i="8"/>
  <c r="E36" i="8"/>
  <c r="D36" i="8"/>
  <c r="M35" i="8"/>
  <c r="L35" i="8"/>
  <c r="K35" i="8"/>
  <c r="J35" i="8"/>
  <c r="P35" i="8" s="1"/>
  <c r="I35" i="8"/>
  <c r="H35" i="8"/>
  <c r="G35" i="8"/>
  <c r="F35" i="8"/>
  <c r="E35" i="8"/>
  <c r="D35" i="8"/>
  <c r="O35" i="8" s="1"/>
  <c r="M34" i="8"/>
  <c r="L34" i="8"/>
  <c r="K34" i="8"/>
  <c r="J34" i="8"/>
  <c r="P34" i="8" s="1"/>
  <c r="I34" i="8"/>
  <c r="H34" i="8"/>
  <c r="G34" i="8"/>
  <c r="F34" i="8"/>
  <c r="E34" i="8"/>
  <c r="D34" i="8"/>
  <c r="O34" i="8" s="1"/>
  <c r="M33" i="8"/>
  <c r="L33" i="8"/>
  <c r="K33" i="8"/>
  <c r="J33" i="8"/>
  <c r="P33" i="8" s="1"/>
  <c r="I33" i="8"/>
  <c r="H33" i="8"/>
  <c r="G33" i="8"/>
  <c r="F33" i="8"/>
  <c r="E33" i="8"/>
  <c r="D33" i="8"/>
  <c r="M32" i="8"/>
  <c r="L32" i="8"/>
  <c r="K32" i="8"/>
  <c r="J32" i="8"/>
  <c r="P32" i="8" s="1"/>
  <c r="I32" i="8"/>
  <c r="H32" i="8"/>
  <c r="G32" i="8"/>
  <c r="F32" i="8"/>
  <c r="E32" i="8"/>
  <c r="D32" i="8"/>
  <c r="O32" i="8" s="1"/>
  <c r="M31" i="8"/>
  <c r="L31" i="8"/>
  <c r="K31" i="8"/>
  <c r="J31" i="8"/>
  <c r="P31" i="8" s="1"/>
  <c r="I31" i="8"/>
  <c r="H31" i="8"/>
  <c r="G31" i="8"/>
  <c r="F31" i="8"/>
  <c r="E31" i="8"/>
  <c r="D31" i="8"/>
  <c r="O31" i="8" s="1"/>
  <c r="M30" i="8"/>
  <c r="L30" i="8"/>
  <c r="K30" i="8"/>
  <c r="J30" i="8"/>
  <c r="P30" i="8" s="1"/>
  <c r="I30" i="8"/>
  <c r="H30" i="8"/>
  <c r="G30" i="8"/>
  <c r="F30" i="8"/>
  <c r="E30" i="8"/>
  <c r="D30" i="8"/>
  <c r="O30" i="8" s="1"/>
  <c r="M29" i="8"/>
  <c r="L29" i="8"/>
  <c r="K29" i="8"/>
  <c r="J29" i="8"/>
  <c r="P29" i="8" s="1"/>
  <c r="I29" i="8"/>
  <c r="H29" i="8"/>
  <c r="G29" i="8"/>
  <c r="F29" i="8"/>
  <c r="E29" i="8"/>
  <c r="D29" i="8"/>
  <c r="M28" i="8"/>
  <c r="L28" i="8"/>
  <c r="K28" i="8"/>
  <c r="J28" i="8"/>
  <c r="P28" i="8" s="1"/>
  <c r="I28" i="8"/>
  <c r="H28" i="8"/>
  <c r="G28" i="8"/>
  <c r="F28" i="8"/>
  <c r="E28" i="8"/>
  <c r="M27" i="8"/>
  <c r="L27" i="8"/>
  <c r="K27" i="8"/>
  <c r="J27" i="8"/>
  <c r="P27" i="8" s="1"/>
  <c r="I27" i="8"/>
  <c r="H27" i="8"/>
  <c r="G27" i="8"/>
  <c r="F27" i="8"/>
  <c r="E27" i="8"/>
  <c r="D27" i="8"/>
  <c r="O27" i="8" s="1"/>
  <c r="M26" i="8"/>
  <c r="L26" i="8"/>
  <c r="K26" i="8"/>
  <c r="J26" i="8"/>
  <c r="I26" i="8"/>
  <c r="H26" i="8"/>
  <c r="G26" i="8"/>
  <c r="F26" i="8"/>
  <c r="E26" i="8"/>
  <c r="D26" i="8"/>
  <c r="M25" i="8"/>
  <c r="L25" i="8"/>
  <c r="K25" i="8"/>
  <c r="J25" i="8"/>
  <c r="I25" i="8"/>
  <c r="H25" i="8"/>
  <c r="G25" i="8"/>
  <c r="F25" i="8"/>
  <c r="E25" i="8"/>
  <c r="D25" i="8"/>
  <c r="M24" i="8"/>
  <c r="L24" i="8"/>
  <c r="K24" i="8"/>
  <c r="J24" i="8"/>
  <c r="P24" i="8" s="1"/>
  <c r="I24" i="8"/>
  <c r="H24" i="8"/>
  <c r="G24" i="8"/>
  <c r="F24" i="8"/>
  <c r="E24" i="8"/>
  <c r="D24" i="8"/>
  <c r="O24" i="8" s="1"/>
  <c r="M23" i="8"/>
  <c r="L23" i="8"/>
  <c r="K23" i="8"/>
  <c r="J23" i="8"/>
  <c r="P23" i="8" s="1"/>
  <c r="I23" i="8"/>
  <c r="H23" i="8"/>
  <c r="G23" i="8"/>
  <c r="F23" i="8"/>
  <c r="E23" i="8"/>
  <c r="D23" i="8"/>
  <c r="O23" i="8" s="1"/>
  <c r="M22" i="8"/>
  <c r="L22" i="8"/>
  <c r="K22" i="8"/>
  <c r="J22" i="8"/>
  <c r="P22" i="8" s="1"/>
  <c r="I22" i="8"/>
  <c r="H22" i="8"/>
  <c r="G22" i="8"/>
  <c r="F22" i="8"/>
  <c r="E22" i="8"/>
  <c r="D22" i="8"/>
  <c r="O22" i="8" s="1"/>
  <c r="M20" i="8"/>
  <c r="L20" i="8"/>
  <c r="K20" i="8"/>
  <c r="J20" i="8"/>
  <c r="P20" i="8" s="1"/>
  <c r="I20" i="8"/>
  <c r="H20" i="8"/>
  <c r="G20" i="8"/>
  <c r="F20" i="8"/>
  <c r="E20" i="8"/>
  <c r="D20" i="8"/>
  <c r="O20" i="8" s="1"/>
  <c r="M16" i="8"/>
  <c r="L16" i="8"/>
  <c r="K16" i="8"/>
  <c r="J16" i="8"/>
  <c r="P16" i="8" s="1"/>
  <c r="I16" i="8"/>
  <c r="H16" i="8"/>
  <c r="G16" i="8"/>
  <c r="F16" i="8"/>
  <c r="E16" i="8"/>
  <c r="D16" i="8"/>
  <c r="O16" i="8" s="1"/>
  <c r="M8" i="8"/>
  <c r="L8" i="8"/>
  <c r="K8" i="8"/>
  <c r="J8" i="8"/>
  <c r="P8" i="8" s="1"/>
  <c r="I8" i="8"/>
  <c r="H8" i="8"/>
  <c r="G8" i="8"/>
  <c r="F8" i="8"/>
  <c r="E8" i="8"/>
  <c r="D8" i="8"/>
  <c r="O8" i="8" s="1"/>
  <c r="N138" i="8"/>
  <c r="M138" i="8"/>
  <c r="L138" i="8"/>
  <c r="B114" i="8"/>
  <c r="B89" i="8" s="1"/>
  <c r="B42" i="8" s="1"/>
  <c r="F76" i="8"/>
  <c r="P41" i="8"/>
  <c r="O41" i="8"/>
  <c r="P40" i="8"/>
  <c r="O40" i="8"/>
  <c r="P39" i="8"/>
  <c r="O39" i="8"/>
  <c r="P38" i="8"/>
  <c r="O38" i="8"/>
  <c r="O28" i="8"/>
  <c r="K48" i="8"/>
  <c r="B62" i="8"/>
  <c r="A49" i="8"/>
  <c r="P21" i="8"/>
  <c r="P19" i="8"/>
  <c r="O19" i="8"/>
  <c r="O18" i="8"/>
  <c r="P17" i="8"/>
  <c r="O17" i="8"/>
  <c r="P15" i="8"/>
  <c r="O15" i="8"/>
  <c r="O14" i="8"/>
  <c r="P13" i="8"/>
  <c r="O13" i="8"/>
  <c r="O12" i="8"/>
  <c r="P12" i="8"/>
  <c r="P11" i="8"/>
  <c r="O11" i="8"/>
  <c r="P9" i="8"/>
  <c r="O9" i="8"/>
  <c r="P7" i="8"/>
  <c r="O7" i="8"/>
  <c r="O6" i="8"/>
  <c r="P5" i="8"/>
  <c r="O5" i="8"/>
  <c r="O4" i="8"/>
  <c r="P4" i="8"/>
  <c r="P3" i="8"/>
  <c r="O3" i="8"/>
  <c r="O2" i="8"/>
  <c r="P2" i="8"/>
  <c r="P42" i="8"/>
  <c r="P89" i="8" s="1"/>
  <c r="P152" i="8" s="1"/>
  <c r="A48" i="8"/>
  <c r="F142" i="7"/>
  <c r="D142" i="7"/>
  <c r="M141" i="7" s="1"/>
  <c r="F141" i="7"/>
  <c r="D141" i="7"/>
  <c r="M140" i="7" s="1"/>
  <c r="F140" i="7"/>
  <c r="D140" i="7"/>
  <c r="M139" i="7" s="1"/>
  <c r="F139" i="7"/>
  <c r="D139" i="7"/>
  <c r="F138" i="7"/>
  <c r="D138" i="7"/>
  <c r="F135" i="7"/>
  <c r="D135" i="7"/>
  <c r="F134" i="7"/>
  <c r="D134" i="7"/>
  <c r="F133" i="7"/>
  <c r="D133" i="7"/>
  <c r="F132" i="7"/>
  <c r="D132" i="7"/>
  <c r="F130" i="7"/>
  <c r="D130" i="7"/>
  <c r="F126" i="7"/>
  <c r="D126" i="7"/>
  <c r="L41" i="7"/>
  <c r="J41" i="7"/>
  <c r="D41" i="7"/>
  <c r="L40" i="7"/>
  <c r="L39" i="7"/>
  <c r="J39" i="7"/>
  <c r="D39" i="7"/>
  <c r="L38" i="7"/>
  <c r="D38" i="7"/>
  <c r="M37" i="7"/>
  <c r="L37" i="7"/>
  <c r="K37" i="7"/>
  <c r="J37" i="7"/>
  <c r="P37" i="7" s="1"/>
  <c r="I37" i="7"/>
  <c r="H37" i="7"/>
  <c r="G37" i="7"/>
  <c r="F37" i="7"/>
  <c r="E37" i="7"/>
  <c r="D37" i="7"/>
  <c r="O37" i="7" s="1"/>
  <c r="M36" i="7"/>
  <c r="L36" i="7"/>
  <c r="K36" i="7"/>
  <c r="J36" i="7"/>
  <c r="P36" i="7" s="1"/>
  <c r="I36" i="7"/>
  <c r="H36" i="7"/>
  <c r="G36" i="7"/>
  <c r="F36" i="7"/>
  <c r="E36" i="7"/>
  <c r="D36" i="7"/>
  <c r="M35" i="7"/>
  <c r="L35" i="7"/>
  <c r="K35" i="7"/>
  <c r="J35" i="7"/>
  <c r="P35" i="7" s="1"/>
  <c r="I35" i="7"/>
  <c r="H35" i="7"/>
  <c r="G35" i="7"/>
  <c r="F35" i="7"/>
  <c r="E35" i="7"/>
  <c r="D35" i="7"/>
  <c r="O35" i="7" s="1"/>
  <c r="M34" i="7"/>
  <c r="L34" i="7"/>
  <c r="K34" i="7"/>
  <c r="J34" i="7"/>
  <c r="P34" i="7" s="1"/>
  <c r="I34" i="7"/>
  <c r="H34" i="7"/>
  <c r="G34" i="7"/>
  <c r="F34" i="7"/>
  <c r="E34" i="7"/>
  <c r="D34" i="7"/>
  <c r="M33" i="7"/>
  <c r="L33" i="7"/>
  <c r="K33" i="7"/>
  <c r="J33" i="7"/>
  <c r="P33" i="7" s="1"/>
  <c r="I33" i="7"/>
  <c r="H33" i="7"/>
  <c r="G33" i="7"/>
  <c r="F33" i="7"/>
  <c r="E33" i="7"/>
  <c r="D33" i="7"/>
  <c r="O33" i="7" s="1"/>
  <c r="M32" i="7"/>
  <c r="L32" i="7"/>
  <c r="K32" i="7"/>
  <c r="J32" i="7"/>
  <c r="P32" i="7" s="1"/>
  <c r="I32" i="7"/>
  <c r="H32" i="7"/>
  <c r="G32" i="7"/>
  <c r="F32" i="7"/>
  <c r="E32" i="7"/>
  <c r="D32" i="7"/>
  <c r="M31" i="7"/>
  <c r="L31" i="7"/>
  <c r="K31" i="7"/>
  <c r="J31" i="7"/>
  <c r="P31" i="7" s="1"/>
  <c r="I31" i="7"/>
  <c r="H31" i="7"/>
  <c r="G31" i="7"/>
  <c r="F31" i="7"/>
  <c r="E31" i="7"/>
  <c r="D31" i="7"/>
  <c r="M30" i="7"/>
  <c r="L30" i="7"/>
  <c r="K30" i="7"/>
  <c r="J30" i="7"/>
  <c r="P30" i="7" s="1"/>
  <c r="I30" i="7"/>
  <c r="H30" i="7"/>
  <c r="G30" i="7"/>
  <c r="F30" i="7"/>
  <c r="E30" i="7"/>
  <c r="D30" i="7"/>
  <c r="M29" i="7"/>
  <c r="L29" i="7"/>
  <c r="K29" i="7"/>
  <c r="J29" i="7"/>
  <c r="P29" i="7" s="1"/>
  <c r="I29" i="7"/>
  <c r="H29" i="7"/>
  <c r="G29" i="7"/>
  <c r="F29" i="7"/>
  <c r="E29" i="7"/>
  <c r="D29" i="7"/>
  <c r="O29" i="7" s="1"/>
  <c r="M28" i="7"/>
  <c r="L28" i="7"/>
  <c r="K28" i="7"/>
  <c r="J28" i="7"/>
  <c r="P28" i="7" s="1"/>
  <c r="I28" i="7"/>
  <c r="H28" i="7"/>
  <c r="G28" i="7"/>
  <c r="F28" i="7"/>
  <c r="E28" i="7"/>
  <c r="D28" i="7"/>
  <c r="M27" i="7"/>
  <c r="L27" i="7"/>
  <c r="K27" i="7"/>
  <c r="J27" i="7"/>
  <c r="P27" i="7" s="1"/>
  <c r="I27" i="7"/>
  <c r="H27" i="7"/>
  <c r="G27" i="7"/>
  <c r="F27" i="7"/>
  <c r="E27" i="7"/>
  <c r="D27" i="7"/>
  <c r="O27" i="7" s="1"/>
  <c r="M26" i="7"/>
  <c r="L26" i="7"/>
  <c r="K26" i="7"/>
  <c r="J26" i="7"/>
  <c r="I26" i="7"/>
  <c r="H26" i="7"/>
  <c r="G26" i="7"/>
  <c r="F26" i="7"/>
  <c r="E26" i="7"/>
  <c r="D26" i="7"/>
  <c r="M25" i="7"/>
  <c r="L25" i="7"/>
  <c r="K25" i="7"/>
  <c r="J25" i="7"/>
  <c r="I25" i="7"/>
  <c r="H25" i="7"/>
  <c r="G25" i="7"/>
  <c r="F25" i="7"/>
  <c r="E25" i="7"/>
  <c r="D25" i="7"/>
  <c r="M24" i="7"/>
  <c r="L24" i="7"/>
  <c r="K24" i="7"/>
  <c r="J24" i="7"/>
  <c r="P24" i="7" s="1"/>
  <c r="I24" i="7"/>
  <c r="H24" i="7"/>
  <c r="G24" i="7"/>
  <c r="F24" i="7"/>
  <c r="E24" i="7"/>
  <c r="D24" i="7"/>
  <c r="M23" i="7"/>
  <c r="L23" i="7"/>
  <c r="K23" i="7"/>
  <c r="J23" i="7"/>
  <c r="P23" i="7" s="1"/>
  <c r="I23" i="7"/>
  <c r="H23" i="7"/>
  <c r="G23" i="7"/>
  <c r="F23" i="7"/>
  <c r="E23" i="7"/>
  <c r="D23" i="7"/>
  <c r="O23" i="7" s="1"/>
  <c r="M22" i="7"/>
  <c r="L22" i="7"/>
  <c r="K22" i="7"/>
  <c r="J22" i="7"/>
  <c r="P22" i="7" s="1"/>
  <c r="I22" i="7"/>
  <c r="H22" i="7"/>
  <c r="G22" i="7"/>
  <c r="F22" i="7"/>
  <c r="E22" i="7"/>
  <c r="D22" i="7"/>
  <c r="M20" i="7"/>
  <c r="L20" i="7"/>
  <c r="K20" i="7"/>
  <c r="J20" i="7"/>
  <c r="P20" i="7" s="1"/>
  <c r="I20" i="7"/>
  <c r="H20" i="7"/>
  <c r="G20" i="7"/>
  <c r="F20" i="7"/>
  <c r="E20" i="7"/>
  <c r="D20" i="7"/>
  <c r="M16" i="7"/>
  <c r="L16" i="7"/>
  <c r="K16" i="7"/>
  <c r="J16" i="7"/>
  <c r="P16" i="7" s="1"/>
  <c r="I16" i="7"/>
  <c r="H16" i="7"/>
  <c r="G16" i="7"/>
  <c r="F16" i="7"/>
  <c r="E16" i="7"/>
  <c r="D16" i="7"/>
  <c r="M8" i="7"/>
  <c r="L8" i="7"/>
  <c r="K8" i="7"/>
  <c r="J8" i="7"/>
  <c r="P8" i="7" s="1"/>
  <c r="I8" i="7"/>
  <c r="H8" i="7"/>
  <c r="G8" i="7"/>
  <c r="F8" i="7"/>
  <c r="E8" i="7"/>
  <c r="D8" i="7"/>
  <c r="N141" i="7"/>
  <c r="L141" i="7"/>
  <c r="N140" i="7"/>
  <c r="L140" i="7"/>
  <c r="N139" i="7"/>
  <c r="L139" i="7"/>
  <c r="N138" i="7"/>
  <c r="M138" i="7"/>
  <c r="L138" i="7"/>
  <c r="B114" i="7"/>
  <c r="S89" i="7" s="1"/>
  <c r="F114" i="7" s="1"/>
  <c r="B152" i="7" s="1"/>
  <c r="A50" i="7"/>
  <c r="P41" i="7"/>
  <c r="O41" i="7"/>
  <c r="P40" i="7"/>
  <c r="O40" i="7"/>
  <c r="P39" i="7"/>
  <c r="O39" i="7"/>
  <c r="P38" i="7"/>
  <c r="O38" i="7"/>
  <c r="K48" i="7"/>
  <c r="B62" i="7"/>
  <c r="A49" i="7"/>
  <c r="P21" i="7"/>
  <c r="O21" i="7"/>
  <c r="A48" i="7"/>
  <c r="O19" i="7"/>
  <c r="P19" i="7"/>
  <c r="P18" i="7"/>
  <c r="O18" i="7"/>
  <c r="P17" i="7"/>
  <c r="O15" i="7"/>
  <c r="P15" i="7"/>
  <c r="P14" i="7"/>
  <c r="O14" i="7"/>
  <c r="P13" i="7"/>
  <c r="P12" i="7"/>
  <c r="O11" i="7"/>
  <c r="P11" i="7"/>
  <c r="P10" i="7"/>
  <c r="O10" i="7"/>
  <c r="P9" i="7"/>
  <c r="O7" i="7"/>
  <c r="P7" i="7"/>
  <c r="P6" i="7"/>
  <c r="O6" i="7"/>
  <c r="P5" i="7"/>
  <c r="P4" i="7"/>
  <c r="O3" i="7"/>
  <c r="P2" i="7"/>
  <c r="O2" i="7"/>
  <c r="P42" i="7"/>
  <c r="P89" i="7" s="1"/>
  <c r="P152" i="7" s="1"/>
  <c r="F76" i="7"/>
  <c r="F142" i="6"/>
  <c r="E142" i="6"/>
  <c r="N141" i="6" s="1"/>
  <c r="D142" i="6"/>
  <c r="M141" i="6" s="1"/>
  <c r="C142" i="6"/>
  <c r="L141" i="6" s="1"/>
  <c r="F141" i="6"/>
  <c r="E141" i="6"/>
  <c r="N140" i="6" s="1"/>
  <c r="D141" i="6"/>
  <c r="M140" i="6" s="1"/>
  <c r="C141" i="6"/>
  <c r="L140" i="6" s="1"/>
  <c r="F140" i="6"/>
  <c r="E140" i="6"/>
  <c r="N139" i="6" s="1"/>
  <c r="D140" i="6"/>
  <c r="M139" i="6" s="1"/>
  <c r="C140" i="6"/>
  <c r="L139" i="6" s="1"/>
  <c r="F139" i="6"/>
  <c r="E139" i="6"/>
  <c r="D139" i="6"/>
  <c r="C139" i="6"/>
  <c r="F138" i="6"/>
  <c r="E138" i="6"/>
  <c r="D138" i="6"/>
  <c r="C138" i="6"/>
  <c r="F135" i="6"/>
  <c r="E135" i="6"/>
  <c r="D135" i="6"/>
  <c r="C135" i="6"/>
  <c r="F134" i="6"/>
  <c r="E134" i="6"/>
  <c r="D134" i="6"/>
  <c r="C134" i="6"/>
  <c r="F133" i="6"/>
  <c r="E133" i="6"/>
  <c r="D133" i="6"/>
  <c r="C133" i="6"/>
  <c r="F132" i="6"/>
  <c r="E132" i="6"/>
  <c r="D132" i="6"/>
  <c r="C132" i="6"/>
  <c r="F130" i="6"/>
  <c r="E130" i="6"/>
  <c r="D130" i="6"/>
  <c r="C130" i="6"/>
  <c r="F126" i="6"/>
  <c r="E126" i="6"/>
  <c r="D126" i="6"/>
  <c r="C126" i="6"/>
  <c r="M41" i="6"/>
  <c r="L41" i="6"/>
  <c r="K41" i="6"/>
  <c r="J41" i="6"/>
  <c r="I41" i="6"/>
  <c r="H41" i="6"/>
  <c r="G41" i="6"/>
  <c r="F41" i="6"/>
  <c r="E41" i="6"/>
  <c r="D41" i="6"/>
  <c r="M40" i="6"/>
  <c r="L40" i="6"/>
  <c r="K40" i="6"/>
  <c r="J40" i="6"/>
  <c r="I40" i="6"/>
  <c r="H40" i="6"/>
  <c r="G40" i="6"/>
  <c r="F40" i="6"/>
  <c r="E40" i="6"/>
  <c r="D40" i="6"/>
  <c r="M39" i="6"/>
  <c r="L39" i="6"/>
  <c r="K39" i="6"/>
  <c r="J39" i="6"/>
  <c r="I39" i="6"/>
  <c r="H39" i="6"/>
  <c r="G39" i="6"/>
  <c r="F39" i="6"/>
  <c r="E39" i="6"/>
  <c r="D39" i="6"/>
  <c r="M38" i="6"/>
  <c r="L38" i="6"/>
  <c r="K38" i="6"/>
  <c r="J38" i="6"/>
  <c r="I38" i="6"/>
  <c r="H38" i="6"/>
  <c r="G38" i="6"/>
  <c r="F38" i="6"/>
  <c r="E38" i="6"/>
  <c r="D38" i="6"/>
  <c r="M37" i="6"/>
  <c r="L37" i="6"/>
  <c r="K37" i="6"/>
  <c r="J37" i="6"/>
  <c r="P37" i="6" s="1"/>
  <c r="I37" i="6"/>
  <c r="H37" i="6"/>
  <c r="G37" i="6"/>
  <c r="F37" i="6"/>
  <c r="E37" i="6"/>
  <c r="D37" i="6"/>
  <c r="M36" i="6"/>
  <c r="L36" i="6"/>
  <c r="K36" i="6"/>
  <c r="J36" i="6"/>
  <c r="I36" i="6"/>
  <c r="H36" i="6"/>
  <c r="G36" i="6"/>
  <c r="F36" i="6"/>
  <c r="E36" i="6"/>
  <c r="D36" i="6"/>
  <c r="M35" i="6"/>
  <c r="L35" i="6"/>
  <c r="K35" i="6"/>
  <c r="J35" i="6"/>
  <c r="P35" i="6" s="1"/>
  <c r="I35" i="6"/>
  <c r="H35" i="6"/>
  <c r="G35" i="6"/>
  <c r="F35" i="6"/>
  <c r="E35" i="6"/>
  <c r="D35" i="6"/>
  <c r="O35" i="6" s="1"/>
  <c r="M34" i="6"/>
  <c r="L34" i="6"/>
  <c r="K34" i="6"/>
  <c r="J34" i="6"/>
  <c r="P34" i="6" s="1"/>
  <c r="I34" i="6"/>
  <c r="H34" i="6"/>
  <c r="G34" i="6"/>
  <c r="F34" i="6"/>
  <c r="E34" i="6"/>
  <c r="D34" i="6"/>
  <c r="O34" i="6" s="1"/>
  <c r="M33" i="6"/>
  <c r="L33" i="6"/>
  <c r="K33" i="6"/>
  <c r="J33" i="6"/>
  <c r="P33" i="6" s="1"/>
  <c r="I33" i="6"/>
  <c r="H33" i="6"/>
  <c r="G33" i="6"/>
  <c r="F33" i="6"/>
  <c r="E33" i="6"/>
  <c r="D33" i="6"/>
  <c r="M32" i="6"/>
  <c r="L32" i="6"/>
  <c r="K32" i="6"/>
  <c r="J32" i="6"/>
  <c r="P32" i="6" s="1"/>
  <c r="I32" i="6"/>
  <c r="H32" i="6"/>
  <c r="G32" i="6"/>
  <c r="F32" i="6"/>
  <c r="E32" i="6"/>
  <c r="D32" i="6"/>
  <c r="O32" i="6" s="1"/>
  <c r="M31" i="6"/>
  <c r="L31" i="6"/>
  <c r="K31" i="6"/>
  <c r="J31" i="6"/>
  <c r="P31" i="6" s="1"/>
  <c r="I31" i="6"/>
  <c r="H31" i="6"/>
  <c r="G31" i="6"/>
  <c r="F31" i="6"/>
  <c r="E31" i="6"/>
  <c r="D31" i="6"/>
  <c r="O31" i="6" s="1"/>
  <c r="M30" i="6"/>
  <c r="L30" i="6"/>
  <c r="K30" i="6"/>
  <c r="J30" i="6"/>
  <c r="P30" i="6" s="1"/>
  <c r="I30" i="6"/>
  <c r="H30" i="6"/>
  <c r="G30" i="6"/>
  <c r="F30" i="6"/>
  <c r="E30" i="6"/>
  <c r="D30" i="6"/>
  <c r="O30" i="6" s="1"/>
  <c r="M29" i="6"/>
  <c r="L29" i="6"/>
  <c r="K29" i="6"/>
  <c r="J29" i="6"/>
  <c r="P29" i="6" s="1"/>
  <c r="I29" i="6"/>
  <c r="H29" i="6"/>
  <c r="G29" i="6"/>
  <c r="F29" i="6"/>
  <c r="E29" i="6"/>
  <c r="D29" i="6"/>
  <c r="M28" i="6"/>
  <c r="L28" i="6"/>
  <c r="K28" i="6"/>
  <c r="J28" i="6"/>
  <c r="P28" i="6" s="1"/>
  <c r="G28" i="6"/>
  <c r="F28" i="6"/>
  <c r="E28" i="6"/>
  <c r="M27" i="6"/>
  <c r="L27" i="6"/>
  <c r="K27" i="6"/>
  <c r="J27" i="6"/>
  <c r="P27" i="6" s="1"/>
  <c r="I27" i="6"/>
  <c r="H27" i="6"/>
  <c r="G27" i="6"/>
  <c r="F27" i="6"/>
  <c r="E27" i="6"/>
  <c r="D27" i="6"/>
  <c r="O27" i="6" s="1"/>
  <c r="M26" i="6"/>
  <c r="L26" i="6"/>
  <c r="K26" i="6"/>
  <c r="J26" i="6"/>
  <c r="I26" i="6"/>
  <c r="H26" i="6"/>
  <c r="G26" i="6"/>
  <c r="F26" i="6"/>
  <c r="E26" i="6"/>
  <c r="D26" i="6"/>
  <c r="M25" i="6"/>
  <c r="L25" i="6"/>
  <c r="K25" i="6"/>
  <c r="J25" i="6"/>
  <c r="I25" i="6"/>
  <c r="H25" i="6"/>
  <c r="G25" i="6"/>
  <c r="F25" i="6"/>
  <c r="E25" i="6"/>
  <c r="D25" i="6"/>
  <c r="M24" i="6"/>
  <c r="L24" i="6"/>
  <c r="K24" i="6"/>
  <c r="J24" i="6"/>
  <c r="P24" i="6" s="1"/>
  <c r="I24" i="6"/>
  <c r="H24" i="6"/>
  <c r="G24" i="6"/>
  <c r="F24" i="6"/>
  <c r="E24" i="6"/>
  <c r="D24" i="6"/>
  <c r="O24" i="6" s="1"/>
  <c r="M23" i="6"/>
  <c r="L23" i="6"/>
  <c r="K23" i="6"/>
  <c r="J23" i="6"/>
  <c r="P23" i="6" s="1"/>
  <c r="I23" i="6"/>
  <c r="H23" i="6"/>
  <c r="G23" i="6"/>
  <c r="F23" i="6"/>
  <c r="E23" i="6"/>
  <c r="D23" i="6"/>
  <c r="O23" i="6" s="1"/>
  <c r="M22" i="6"/>
  <c r="L22" i="6"/>
  <c r="K22" i="6"/>
  <c r="J22" i="6"/>
  <c r="P22" i="6" s="1"/>
  <c r="I22" i="6"/>
  <c r="H22" i="6"/>
  <c r="G22" i="6"/>
  <c r="F22" i="6"/>
  <c r="E22" i="6"/>
  <c r="D22" i="6"/>
  <c r="O22" i="6" s="1"/>
  <c r="M20" i="6"/>
  <c r="L20" i="6"/>
  <c r="K20" i="6"/>
  <c r="J20" i="6"/>
  <c r="P20" i="6" s="1"/>
  <c r="I20" i="6"/>
  <c r="H20" i="6"/>
  <c r="G20" i="6"/>
  <c r="F20" i="6"/>
  <c r="E20" i="6"/>
  <c r="D20" i="6"/>
  <c r="O20" i="6" s="1"/>
  <c r="M16" i="6"/>
  <c r="L16" i="6"/>
  <c r="K16" i="6"/>
  <c r="J16" i="6"/>
  <c r="P16" i="6" s="1"/>
  <c r="I16" i="6"/>
  <c r="H16" i="6"/>
  <c r="G16" i="6"/>
  <c r="F16" i="6"/>
  <c r="E16" i="6"/>
  <c r="D16" i="6"/>
  <c r="M8" i="6"/>
  <c r="L8" i="6"/>
  <c r="K8" i="6"/>
  <c r="J8" i="6"/>
  <c r="P8" i="6" s="1"/>
  <c r="I8" i="6"/>
  <c r="H8" i="6"/>
  <c r="G8" i="6"/>
  <c r="F8" i="6"/>
  <c r="E8" i="6"/>
  <c r="D8" i="6"/>
  <c r="N138" i="6"/>
  <c r="M138" i="6"/>
  <c r="L138" i="6"/>
  <c r="B114" i="6"/>
  <c r="S89" i="6" s="1"/>
  <c r="F114" i="6" s="1"/>
  <c r="B152" i="6" s="1"/>
  <c r="F76" i="6"/>
  <c r="P41" i="6"/>
  <c r="O41" i="6"/>
  <c r="P40" i="6"/>
  <c r="O40" i="6"/>
  <c r="P39" i="6"/>
  <c r="O39" i="6"/>
  <c r="P38" i="6"/>
  <c r="O38" i="6"/>
  <c r="O28" i="6"/>
  <c r="K48" i="6"/>
  <c r="B62" i="6"/>
  <c r="A49" i="6"/>
  <c r="P21" i="6"/>
  <c r="A48" i="6"/>
  <c r="P19" i="6"/>
  <c r="O19" i="6"/>
  <c r="O18" i="6"/>
  <c r="P17" i="6"/>
  <c r="O17" i="6"/>
  <c r="P15" i="6"/>
  <c r="O15" i="6"/>
  <c r="O14" i="6"/>
  <c r="P13" i="6"/>
  <c r="O13" i="6"/>
  <c r="P12" i="6"/>
  <c r="P11" i="6"/>
  <c r="O11" i="6"/>
  <c r="O10" i="6"/>
  <c r="P9" i="6"/>
  <c r="O9" i="6"/>
  <c r="P7" i="6"/>
  <c r="O7" i="6"/>
  <c r="O6" i="6"/>
  <c r="P5" i="6"/>
  <c r="O5" i="6"/>
  <c r="P4" i="6"/>
  <c r="P3" i="6"/>
  <c r="P2" i="6"/>
  <c r="O2" i="6"/>
  <c r="P42" i="6"/>
  <c r="P89" i="6" s="1"/>
  <c r="P152" i="6" s="1"/>
  <c r="K62" i="6"/>
  <c r="F142" i="5"/>
  <c r="E142" i="5"/>
  <c r="N141" i="5" s="1"/>
  <c r="D142" i="5"/>
  <c r="M141" i="5" s="1"/>
  <c r="C142" i="5"/>
  <c r="L141" i="5" s="1"/>
  <c r="F141" i="5"/>
  <c r="E141" i="5"/>
  <c r="N140" i="5" s="1"/>
  <c r="D141" i="5"/>
  <c r="M140" i="5" s="1"/>
  <c r="C141" i="5"/>
  <c r="L140" i="5" s="1"/>
  <c r="F140" i="5"/>
  <c r="E140" i="5"/>
  <c r="N139" i="5" s="1"/>
  <c r="D140" i="5"/>
  <c r="M139" i="5" s="1"/>
  <c r="C140" i="5"/>
  <c r="L139" i="5" s="1"/>
  <c r="F139" i="5"/>
  <c r="E139" i="5"/>
  <c r="D139" i="5"/>
  <c r="C139" i="5"/>
  <c r="F138" i="5"/>
  <c r="E138" i="5"/>
  <c r="D138" i="5"/>
  <c r="C138" i="5"/>
  <c r="F135" i="5"/>
  <c r="E135" i="5"/>
  <c r="D135" i="5"/>
  <c r="C135" i="5"/>
  <c r="F134" i="5"/>
  <c r="E134" i="5"/>
  <c r="D134" i="5"/>
  <c r="C134" i="5"/>
  <c r="F133" i="5"/>
  <c r="E133" i="5"/>
  <c r="D133" i="5"/>
  <c r="C133" i="5"/>
  <c r="F132" i="5"/>
  <c r="E132" i="5"/>
  <c r="D132" i="5"/>
  <c r="C132" i="5"/>
  <c r="F130" i="5"/>
  <c r="E130" i="5"/>
  <c r="D130" i="5"/>
  <c r="C130" i="5"/>
  <c r="F126" i="5"/>
  <c r="E126" i="5"/>
  <c r="D126" i="5"/>
  <c r="C126" i="5"/>
  <c r="M41" i="5"/>
  <c r="L41" i="5"/>
  <c r="K41" i="5"/>
  <c r="J41" i="5"/>
  <c r="I41" i="5"/>
  <c r="H41" i="5"/>
  <c r="G41" i="5"/>
  <c r="F41" i="5"/>
  <c r="E41" i="5"/>
  <c r="D41" i="5"/>
  <c r="M40" i="5"/>
  <c r="L40" i="5"/>
  <c r="K40" i="5"/>
  <c r="J40" i="5"/>
  <c r="I40" i="5"/>
  <c r="H40" i="5"/>
  <c r="G40" i="5"/>
  <c r="F40" i="5"/>
  <c r="E40" i="5"/>
  <c r="D40" i="5"/>
  <c r="M39" i="5"/>
  <c r="L39" i="5"/>
  <c r="K39" i="5"/>
  <c r="J39" i="5"/>
  <c r="I39" i="5"/>
  <c r="H39" i="5"/>
  <c r="G39" i="5"/>
  <c r="F39" i="5"/>
  <c r="E39" i="5"/>
  <c r="D39" i="5"/>
  <c r="M38" i="5"/>
  <c r="L38" i="5"/>
  <c r="K38" i="5"/>
  <c r="J38" i="5"/>
  <c r="I38" i="5"/>
  <c r="H38" i="5"/>
  <c r="G38" i="5"/>
  <c r="F38" i="5"/>
  <c r="E38" i="5"/>
  <c r="D38" i="5"/>
  <c r="M37" i="5"/>
  <c r="L37" i="5"/>
  <c r="K37" i="5"/>
  <c r="J37" i="5"/>
  <c r="P37" i="5" s="1"/>
  <c r="I37" i="5"/>
  <c r="H37" i="5"/>
  <c r="G37" i="5"/>
  <c r="F37" i="5"/>
  <c r="E37" i="5"/>
  <c r="D37" i="5"/>
  <c r="O37" i="5" s="1"/>
  <c r="M36" i="5"/>
  <c r="L36" i="5"/>
  <c r="K36" i="5"/>
  <c r="J36" i="5"/>
  <c r="I36" i="5"/>
  <c r="H36" i="5"/>
  <c r="G36" i="5"/>
  <c r="F36" i="5"/>
  <c r="E36" i="5"/>
  <c r="D36" i="5"/>
  <c r="M35" i="5"/>
  <c r="L35" i="5"/>
  <c r="K35" i="5"/>
  <c r="J35" i="5"/>
  <c r="P35" i="5" s="1"/>
  <c r="I35" i="5"/>
  <c r="H35" i="5"/>
  <c r="G35" i="5"/>
  <c r="F35" i="5"/>
  <c r="E35" i="5"/>
  <c r="D35" i="5"/>
  <c r="M34" i="5"/>
  <c r="L34" i="5"/>
  <c r="K34" i="5"/>
  <c r="J34" i="5"/>
  <c r="P34" i="5" s="1"/>
  <c r="I34" i="5"/>
  <c r="H34" i="5"/>
  <c r="G34" i="5"/>
  <c r="F34" i="5"/>
  <c r="E34" i="5"/>
  <c r="D34" i="5"/>
  <c r="O34" i="5" s="1"/>
  <c r="M33" i="5"/>
  <c r="L33" i="5"/>
  <c r="K33" i="5"/>
  <c r="J33" i="5"/>
  <c r="P33" i="5" s="1"/>
  <c r="I33" i="5"/>
  <c r="H33" i="5"/>
  <c r="G33" i="5"/>
  <c r="F33" i="5"/>
  <c r="E33" i="5"/>
  <c r="D33" i="5"/>
  <c r="O33" i="5" s="1"/>
  <c r="M32" i="5"/>
  <c r="L32" i="5"/>
  <c r="K32" i="5"/>
  <c r="J32" i="5"/>
  <c r="P32" i="5" s="1"/>
  <c r="I32" i="5"/>
  <c r="H32" i="5"/>
  <c r="G32" i="5"/>
  <c r="F32" i="5"/>
  <c r="E32" i="5"/>
  <c r="D32" i="5"/>
  <c r="M31" i="5"/>
  <c r="L31" i="5"/>
  <c r="K31" i="5"/>
  <c r="J31" i="5"/>
  <c r="P31" i="5" s="1"/>
  <c r="I31" i="5"/>
  <c r="H31" i="5"/>
  <c r="G31" i="5"/>
  <c r="F31" i="5"/>
  <c r="E31" i="5"/>
  <c r="D31" i="5"/>
  <c r="M30" i="5"/>
  <c r="L30" i="5"/>
  <c r="K30" i="5"/>
  <c r="J30" i="5"/>
  <c r="P30" i="5" s="1"/>
  <c r="I30" i="5"/>
  <c r="H30" i="5"/>
  <c r="G30" i="5"/>
  <c r="F30" i="5"/>
  <c r="E30" i="5"/>
  <c r="D30" i="5"/>
  <c r="O30" i="5" s="1"/>
  <c r="M29" i="5"/>
  <c r="L29" i="5"/>
  <c r="K29" i="5"/>
  <c r="J29" i="5"/>
  <c r="P29" i="5" s="1"/>
  <c r="I29" i="5"/>
  <c r="H29" i="5"/>
  <c r="G29" i="5"/>
  <c r="F29" i="5"/>
  <c r="E29" i="5"/>
  <c r="D29" i="5"/>
  <c r="O29" i="5" s="1"/>
  <c r="M28" i="5"/>
  <c r="L28" i="5"/>
  <c r="K28" i="5"/>
  <c r="J28" i="5"/>
  <c r="P28" i="5" s="1"/>
  <c r="I28" i="5"/>
  <c r="H28" i="5"/>
  <c r="F28" i="5"/>
  <c r="E28" i="5"/>
  <c r="D28" i="5"/>
  <c r="M27" i="5"/>
  <c r="L27" i="5"/>
  <c r="K27" i="5"/>
  <c r="J27" i="5"/>
  <c r="P27" i="5" s="1"/>
  <c r="I27" i="5"/>
  <c r="H27" i="5"/>
  <c r="G27" i="5"/>
  <c r="F27" i="5"/>
  <c r="E27" i="5"/>
  <c r="D27" i="5"/>
  <c r="M26" i="5"/>
  <c r="L26" i="5"/>
  <c r="K26" i="5"/>
  <c r="J26" i="5"/>
  <c r="I26" i="5"/>
  <c r="H26" i="5"/>
  <c r="G26" i="5"/>
  <c r="F26" i="5"/>
  <c r="E26" i="5"/>
  <c r="D26" i="5"/>
  <c r="M25" i="5"/>
  <c r="L25" i="5"/>
  <c r="K25" i="5"/>
  <c r="J25" i="5"/>
  <c r="I25" i="5"/>
  <c r="H25" i="5"/>
  <c r="G25" i="5"/>
  <c r="F25" i="5"/>
  <c r="E25" i="5"/>
  <c r="D25" i="5"/>
  <c r="M24" i="5"/>
  <c r="L24" i="5"/>
  <c r="K24" i="5"/>
  <c r="J24" i="5"/>
  <c r="P24" i="5" s="1"/>
  <c r="I24" i="5"/>
  <c r="H24" i="5"/>
  <c r="G24" i="5"/>
  <c r="F24" i="5"/>
  <c r="E24" i="5"/>
  <c r="D24" i="5"/>
  <c r="M23" i="5"/>
  <c r="L23" i="5"/>
  <c r="K23" i="5"/>
  <c r="J23" i="5"/>
  <c r="P23" i="5" s="1"/>
  <c r="I23" i="5"/>
  <c r="H23" i="5"/>
  <c r="G23" i="5"/>
  <c r="F23" i="5"/>
  <c r="E23" i="5"/>
  <c r="D23" i="5"/>
  <c r="M22" i="5"/>
  <c r="L22" i="5"/>
  <c r="K22" i="5"/>
  <c r="J22" i="5"/>
  <c r="P22" i="5" s="1"/>
  <c r="I22" i="5"/>
  <c r="H22" i="5"/>
  <c r="G22" i="5"/>
  <c r="F22" i="5"/>
  <c r="E22" i="5"/>
  <c r="D22" i="5"/>
  <c r="O22" i="5" s="1"/>
  <c r="M20" i="5"/>
  <c r="L20" i="5"/>
  <c r="K20" i="5"/>
  <c r="J20" i="5"/>
  <c r="P20" i="5" s="1"/>
  <c r="I20" i="5"/>
  <c r="H20" i="5"/>
  <c r="G20" i="5"/>
  <c r="F20" i="5"/>
  <c r="E20" i="5"/>
  <c r="D20" i="5"/>
  <c r="M16" i="5"/>
  <c r="L16" i="5"/>
  <c r="K16" i="5"/>
  <c r="J16" i="5"/>
  <c r="P16" i="5" s="1"/>
  <c r="I16" i="5"/>
  <c r="H16" i="5"/>
  <c r="G16" i="5"/>
  <c r="F16" i="5"/>
  <c r="E16" i="5"/>
  <c r="D16" i="5"/>
  <c r="O16" i="5" s="1"/>
  <c r="M8" i="5"/>
  <c r="L8" i="5"/>
  <c r="K8" i="5"/>
  <c r="J8" i="5"/>
  <c r="P8" i="5" s="1"/>
  <c r="I8" i="5"/>
  <c r="H8" i="5"/>
  <c r="G8" i="5"/>
  <c r="F8" i="5"/>
  <c r="E8" i="5"/>
  <c r="D8" i="5"/>
  <c r="O8" i="5" s="1"/>
  <c r="N138" i="5"/>
  <c r="M138" i="5"/>
  <c r="L138" i="5"/>
  <c r="B114" i="5"/>
  <c r="S89" i="5" s="1"/>
  <c r="F114" i="5" s="1"/>
  <c r="B152" i="5" s="1"/>
  <c r="F76" i="5"/>
  <c r="P41" i="5"/>
  <c r="O41" i="5"/>
  <c r="P40" i="5"/>
  <c r="O40" i="5"/>
  <c r="P39" i="5"/>
  <c r="O39" i="5"/>
  <c r="P38" i="5"/>
  <c r="O38" i="5"/>
  <c r="K48" i="5"/>
  <c r="P21" i="5"/>
  <c r="O21" i="5"/>
  <c r="A48" i="5"/>
  <c r="P19" i="5"/>
  <c r="O19" i="5"/>
  <c r="O18" i="5"/>
  <c r="P17" i="5"/>
  <c r="O17" i="5"/>
  <c r="P15" i="5"/>
  <c r="O15" i="5"/>
  <c r="O14" i="5"/>
  <c r="P13" i="5"/>
  <c r="O13" i="5"/>
  <c r="O12" i="5"/>
  <c r="P12" i="5"/>
  <c r="P11" i="5"/>
  <c r="O11" i="5"/>
  <c r="O10" i="5"/>
  <c r="P9" i="5"/>
  <c r="O9" i="5"/>
  <c r="P7" i="5"/>
  <c r="O7" i="5"/>
  <c r="O6" i="5"/>
  <c r="P5" i="5"/>
  <c r="O5" i="5"/>
  <c r="O4" i="5"/>
  <c r="P4" i="5"/>
  <c r="P3" i="5"/>
  <c r="O3" i="5"/>
  <c r="O2" i="5"/>
  <c r="P42" i="5"/>
  <c r="P89" i="5" s="1"/>
  <c r="P152" i="5" s="1"/>
  <c r="A49" i="5"/>
  <c r="F142" i="4"/>
  <c r="F141" i="4"/>
  <c r="F140" i="4"/>
  <c r="F139" i="4"/>
  <c r="F138" i="4"/>
  <c r="F135" i="4"/>
  <c r="F134" i="4"/>
  <c r="F133" i="4"/>
  <c r="F132" i="4"/>
  <c r="F130" i="4"/>
  <c r="F126" i="4"/>
  <c r="M41" i="4"/>
  <c r="L41" i="4"/>
  <c r="K41" i="4"/>
  <c r="J41" i="4"/>
  <c r="I41" i="4"/>
  <c r="H41" i="4"/>
  <c r="G41" i="4"/>
  <c r="F41" i="4"/>
  <c r="D41" i="4"/>
  <c r="M40" i="4"/>
  <c r="L40" i="4"/>
  <c r="K40" i="4"/>
  <c r="J40" i="4"/>
  <c r="M39" i="4"/>
  <c r="L39" i="4"/>
  <c r="K39" i="4"/>
  <c r="J39" i="4"/>
  <c r="I39" i="4"/>
  <c r="H39" i="4"/>
  <c r="F39" i="4"/>
  <c r="M38" i="4"/>
  <c r="L38" i="4"/>
  <c r="K38" i="4"/>
  <c r="J38" i="4"/>
  <c r="H38" i="4"/>
  <c r="G38" i="4"/>
  <c r="F38" i="4"/>
  <c r="D38" i="4"/>
  <c r="M37" i="4"/>
  <c r="L37" i="4"/>
  <c r="K37" i="4"/>
  <c r="J37" i="4"/>
  <c r="P37" i="4" s="1"/>
  <c r="I37" i="4"/>
  <c r="H37" i="4"/>
  <c r="G37" i="4"/>
  <c r="F37" i="4"/>
  <c r="E37" i="4"/>
  <c r="D37" i="4"/>
  <c r="M36" i="4"/>
  <c r="L36" i="4"/>
  <c r="K36" i="4"/>
  <c r="J36" i="4"/>
  <c r="I36" i="4"/>
  <c r="H36" i="4"/>
  <c r="G36" i="4"/>
  <c r="F36" i="4"/>
  <c r="E36" i="4"/>
  <c r="D36" i="4"/>
  <c r="O36" i="4" s="1"/>
  <c r="M35" i="4"/>
  <c r="L35" i="4"/>
  <c r="K35" i="4"/>
  <c r="J35" i="4"/>
  <c r="P35" i="4" s="1"/>
  <c r="I35" i="4"/>
  <c r="H35" i="4"/>
  <c r="G35" i="4"/>
  <c r="F35" i="4"/>
  <c r="E35" i="4"/>
  <c r="D35" i="4"/>
  <c r="O35" i="4" s="1"/>
  <c r="M34" i="4"/>
  <c r="L34" i="4"/>
  <c r="K34" i="4"/>
  <c r="J34" i="4"/>
  <c r="P34" i="4" s="1"/>
  <c r="I34" i="4"/>
  <c r="H34" i="4"/>
  <c r="G34" i="4"/>
  <c r="F34" i="4"/>
  <c r="E34" i="4"/>
  <c r="D34" i="4"/>
  <c r="O34" i="4" s="1"/>
  <c r="M33" i="4"/>
  <c r="L33" i="4"/>
  <c r="K33" i="4"/>
  <c r="J33" i="4"/>
  <c r="P33" i="4" s="1"/>
  <c r="I33" i="4"/>
  <c r="H33" i="4"/>
  <c r="G33" i="4"/>
  <c r="F33" i="4"/>
  <c r="E33" i="4"/>
  <c r="D33" i="4"/>
  <c r="M32" i="4"/>
  <c r="L32" i="4"/>
  <c r="K32" i="4"/>
  <c r="J32" i="4"/>
  <c r="P32" i="4" s="1"/>
  <c r="I32" i="4"/>
  <c r="H32" i="4"/>
  <c r="G32" i="4"/>
  <c r="F32" i="4"/>
  <c r="E32" i="4"/>
  <c r="D32" i="4"/>
  <c r="O32" i="4" s="1"/>
  <c r="M31" i="4"/>
  <c r="L31" i="4"/>
  <c r="K31" i="4"/>
  <c r="J31" i="4"/>
  <c r="I31" i="4"/>
  <c r="H31" i="4"/>
  <c r="G31" i="4"/>
  <c r="F31" i="4"/>
  <c r="E31" i="4"/>
  <c r="D31" i="4"/>
  <c r="M30" i="4"/>
  <c r="L30" i="4"/>
  <c r="K30" i="4"/>
  <c r="J30" i="4"/>
  <c r="P30" i="4" s="1"/>
  <c r="I30" i="4"/>
  <c r="H30" i="4"/>
  <c r="G30" i="4"/>
  <c r="F30" i="4"/>
  <c r="E30" i="4"/>
  <c r="D30" i="4"/>
  <c r="O30" i="4" s="1"/>
  <c r="M29" i="4"/>
  <c r="L29" i="4"/>
  <c r="K29" i="4"/>
  <c r="J29" i="4"/>
  <c r="P29" i="4" s="1"/>
  <c r="I29" i="4"/>
  <c r="H29" i="4"/>
  <c r="G29" i="4"/>
  <c r="F29" i="4"/>
  <c r="E29" i="4"/>
  <c r="D29" i="4"/>
  <c r="M28" i="4"/>
  <c r="L28" i="4"/>
  <c r="K28" i="4"/>
  <c r="J28" i="4"/>
  <c r="P28" i="4" s="1"/>
  <c r="G28" i="4"/>
  <c r="F28" i="4"/>
  <c r="E28" i="4"/>
  <c r="D28" i="4"/>
  <c r="O28" i="4" s="1"/>
  <c r="M27" i="4"/>
  <c r="L27" i="4"/>
  <c r="K27" i="4"/>
  <c r="J27" i="4"/>
  <c r="P27" i="4" s="1"/>
  <c r="I27" i="4"/>
  <c r="H27" i="4"/>
  <c r="G27" i="4"/>
  <c r="F27" i="4"/>
  <c r="E27" i="4"/>
  <c r="D27" i="4"/>
  <c r="M26" i="4"/>
  <c r="L26" i="4"/>
  <c r="K26" i="4"/>
  <c r="J26" i="4"/>
  <c r="I26" i="4"/>
  <c r="H26" i="4"/>
  <c r="G26" i="4"/>
  <c r="F26" i="4"/>
  <c r="E26" i="4"/>
  <c r="D26" i="4"/>
  <c r="M25" i="4"/>
  <c r="L25" i="4"/>
  <c r="K25" i="4"/>
  <c r="J25" i="4"/>
  <c r="I25" i="4"/>
  <c r="H25" i="4"/>
  <c r="G25" i="4"/>
  <c r="F25" i="4"/>
  <c r="E25" i="4"/>
  <c r="D25" i="4"/>
  <c r="M24" i="4"/>
  <c r="L24" i="4"/>
  <c r="K24" i="4"/>
  <c r="J24" i="4"/>
  <c r="P24" i="4" s="1"/>
  <c r="I24" i="4"/>
  <c r="H24" i="4"/>
  <c r="G24" i="4"/>
  <c r="F24" i="4"/>
  <c r="E24" i="4"/>
  <c r="D24" i="4"/>
  <c r="O24" i="4" s="1"/>
  <c r="M23" i="4"/>
  <c r="L23" i="4"/>
  <c r="K23" i="4"/>
  <c r="J23" i="4"/>
  <c r="P23" i="4" s="1"/>
  <c r="I23" i="4"/>
  <c r="H23" i="4"/>
  <c r="G23" i="4"/>
  <c r="F23" i="4"/>
  <c r="E23" i="4"/>
  <c r="D23" i="4"/>
  <c r="O23" i="4" s="1"/>
  <c r="M22" i="4"/>
  <c r="L22" i="4"/>
  <c r="K22" i="4"/>
  <c r="J22" i="4"/>
  <c r="P22" i="4" s="1"/>
  <c r="I22" i="4"/>
  <c r="H22" i="4"/>
  <c r="G22" i="4"/>
  <c r="F22" i="4"/>
  <c r="E22" i="4"/>
  <c r="D22" i="4"/>
  <c r="O22" i="4" s="1"/>
  <c r="M20" i="4"/>
  <c r="L20" i="4"/>
  <c r="K20" i="4"/>
  <c r="J20" i="4"/>
  <c r="P20" i="4" s="1"/>
  <c r="I20" i="4"/>
  <c r="H20" i="4"/>
  <c r="G20" i="4"/>
  <c r="F20" i="4"/>
  <c r="E20" i="4"/>
  <c r="D20" i="4"/>
  <c r="O20" i="4" s="1"/>
  <c r="M16" i="4"/>
  <c r="L16" i="4"/>
  <c r="K16" i="4"/>
  <c r="J16" i="4"/>
  <c r="P16" i="4" s="1"/>
  <c r="I16" i="4"/>
  <c r="H16" i="4"/>
  <c r="G16" i="4"/>
  <c r="F16" i="4"/>
  <c r="E16" i="4"/>
  <c r="D16" i="4"/>
  <c r="M8" i="4"/>
  <c r="L8" i="4"/>
  <c r="K8" i="4"/>
  <c r="J8" i="4"/>
  <c r="P8" i="4" s="1"/>
  <c r="I8" i="4"/>
  <c r="H8" i="4"/>
  <c r="G8" i="4"/>
  <c r="F8" i="4"/>
  <c r="E8" i="4"/>
  <c r="D8" i="4"/>
  <c r="N141" i="4"/>
  <c r="N143" i="4" s="1"/>
  <c r="M141" i="4"/>
  <c r="L141" i="4"/>
  <c r="N140" i="4"/>
  <c r="N142" i="4" s="1"/>
  <c r="M140" i="4"/>
  <c r="M142" i="4" s="1"/>
  <c r="L140" i="4"/>
  <c r="N139" i="4"/>
  <c r="M139" i="4"/>
  <c r="L139" i="4"/>
  <c r="N138" i="4"/>
  <c r="M138" i="4"/>
  <c r="L138" i="4"/>
  <c r="B114" i="4"/>
  <c r="B89" i="4" s="1"/>
  <c r="B42" i="4" s="1"/>
  <c r="F76" i="4"/>
  <c r="P41" i="4"/>
  <c r="O41" i="4"/>
  <c r="P40" i="4"/>
  <c r="O40" i="4"/>
  <c r="P39" i="4"/>
  <c r="O39" i="4"/>
  <c r="P38" i="4"/>
  <c r="O38" i="4"/>
  <c r="K48" i="4"/>
  <c r="B62" i="4"/>
  <c r="A49" i="4"/>
  <c r="P21" i="4"/>
  <c r="A48" i="4"/>
  <c r="P19" i="4"/>
  <c r="O19" i="4"/>
  <c r="O18" i="4"/>
  <c r="P17" i="4"/>
  <c r="O17" i="4"/>
  <c r="P15" i="4"/>
  <c r="O15" i="4"/>
  <c r="O14" i="4"/>
  <c r="P13" i="4"/>
  <c r="O13" i="4"/>
  <c r="P12" i="4"/>
  <c r="P11" i="4"/>
  <c r="O11" i="4"/>
  <c r="O10" i="4"/>
  <c r="P9" i="4"/>
  <c r="O9" i="4"/>
  <c r="P7" i="4"/>
  <c r="O7" i="4"/>
  <c r="O6" i="4"/>
  <c r="P5" i="4"/>
  <c r="O5" i="4"/>
  <c r="P4" i="4"/>
  <c r="P3" i="4"/>
  <c r="O3" i="4"/>
  <c r="O2" i="4"/>
  <c r="P2" i="4"/>
  <c r="P42" i="4"/>
  <c r="P89" i="4" s="1"/>
  <c r="P152" i="4" s="1"/>
  <c r="K62" i="4"/>
  <c r="N142" i="36" l="1"/>
  <c r="N143" i="36"/>
  <c r="L143" i="36"/>
  <c r="M143" i="36"/>
  <c r="L142" i="36"/>
  <c r="M142" i="36"/>
  <c r="B89" i="36"/>
  <c r="B42" i="36" s="1"/>
  <c r="P25" i="36"/>
  <c r="O25" i="36"/>
  <c r="P6" i="36"/>
  <c r="P10" i="36"/>
  <c r="P14" i="36"/>
  <c r="P18" i="36"/>
  <c r="A50" i="36"/>
  <c r="B62" i="36"/>
  <c r="O20" i="36"/>
  <c r="O24" i="36"/>
  <c r="O28" i="36"/>
  <c r="O32" i="36"/>
  <c r="O36" i="36"/>
  <c r="F62" i="36"/>
  <c r="K62" i="36"/>
  <c r="O31" i="36"/>
  <c r="O22" i="36"/>
  <c r="O30" i="36"/>
  <c r="O34" i="36"/>
  <c r="N142" i="35"/>
  <c r="N143" i="35"/>
  <c r="M143" i="35"/>
  <c r="L143" i="35"/>
  <c r="L142" i="35"/>
  <c r="P25" i="35"/>
  <c r="O25" i="35"/>
  <c r="P36" i="35"/>
  <c r="M142" i="35"/>
  <c r="P6" i="35"/>
  <c r="P10" i="35"/>
  <c r="P14" i="35"/>
  <c r="P18" i="35"/>
  <c r="A50" i="35"/>
  <c r="B62" i="35"/>
  <c r="O20" i="35"/>
  <c r="O24" i="35"/>
  <c r="O28" i="35"/>
  <c r="O32" i="35"/>
  <c r="O36" i="35"/>
  <c r="F62" i="35"/>
  <c r="K62" i="35"/>
  <c r="O31" i="35"/>
  <c r="B89" i="35"/>
  <c r="B42" i="35" s="1"/>
  <c r="O22" i="35"/>
  <c r="O30" i="35"/>
  <c r="O34" i="35"/>
  <c r="N143" i="34"/>
  <c r="M143" i="34"/>
  <c r="L143" i="34"/>
  <c r="L142" i="34"/>
  <c r="B89" i="34"/>
  <c r="B42" i="34" s="1"/>
  <c r="M142" i="34"/>
  <c r="N142" i="34"/>
  <c r="P25" i="34"/>
  <c r="O25" i="34"/>
  <c r="P6" i="34"/>
  <c r="P10" i="34"/>
  <c r="P14" i="34"/>
  <c r="P18" i="34"/>
  <c r="A50" i="34"/>
  <c r="B62" i="34"/>
  <c r="O20" i="34"/>
  <c r="O24" i="34"/>
  <c r="O28" i="34"/>
  <c r="O32" i="34"/>
  <c r="O36" i="34"/>
  <c r="F62" i="34"/>
  <c r="K62" i="34"/>
  <c r="O31" i="34"/>
  <c r="O22" i="34"/>
  <c r="O30" i="34"/>
  <c r="O34" i="34"/>
  <c r="L143" i="33"/>
  <c r="M143" i="33"/>
  <c r="L142" i="33"/>
  <c r="M142" i="33"/>
  <c r="B89" i="33"/>
  <c r="B42" i="33" s="1"/>
  <c r="N142" i="33"/>
  <c r="P26" i="33"/>
  <c r="P25" i="33"/>
  <c r="O25" i="33"/>
  <c r="N143" i="33"/>
  <c r="P6" i="33"/>
  <c r="P10" i="33"/>
  <c r="P14" i="33"/>
  <c r="P18" i="33"/>
  <c r="O21" i="33"/>
  <c r="O29" i="33"/>
  <c r="O33" i="33"/>
  <c r="O37" i="33"/>
  <c r="A50" i="33"/>
  <c r="F62" i="33"/>
  <c r="O26" i="33"/>
  <c r="O23" i="33"/>
  <c r="O27" i="33"/>
  <c r="O31" i="33"/>
  <c r="O35" i="33"/>
  <c r="A76" i="33"/>
  <c r="P27" i="33"/>
  <c r="M143" i="32"/>
  <c r="M142" i="32"/>
  <c r="L143" i="32"/>
  <c r="L142" i="32"/>
  <c r="B89" i="32"/>
  <c r="B42" i="32" s="1"/>
  <c r="N142" i="32"/>
  <c r="P36" i="32"/>
  <c r="P25" i="32"/>
  <c r="O25" i="32"/>
  <c r="N143" i="32"/>
  <c r="O5" i="32"/>
  <c r="O9" i="32"/>
  <c r="O13" i="32"/>
  <c r="O17" i="32"/>
  <c r="O20" i="32"/>
  <c r="O24" i="32"/>
  <c r="O28" i="32"/>
  <c r="O32" i="32"/>
  <c r="O36" i="32"/>
  <c r="F62" i="32"/>
  <c r="A76" i="32"/>
  <c r="O3" i="32"/>
  <c r="O7" i="32"/>
  <c r="O11" i="32"/>
  <c r="O15" i="32"/>
  <c r="O19" i="32"/>
  <c r="P3" i="32"/>
  <c r="M142" i="31"/>
  <c r="M143" i="31"/>
  <c r="L143" i="31"/>
  <c r="L142" i="31"/>
  <c r="B89" i="31"/>
  <c r="B42" i="31" s="1"/>
  <c r="N142" i="31"/>
  <c r="P25" i="31"/>
  <c r="O25" i="31"/>
  <c r="N143" i="31"/>
  <c r="P26" i="31"/>
  <c r="O26" i="31"/>
  <c r="P6" i="31"/>
  <c r="P10" i="31"/>
  <c r="P14" i="31"/>
  <c r="P18" i="31"/>
  <c r="O21" i="31"/>
  <c r="O29" i="31"/>
  <c r="O33" i="31"/>
  <c r="O37" i="31"/>
  <c r="A50" i="31"/>
  <c r="F62" i="31"/>
  <c r="K62" i="31"/>
  <c r="O27" i="31"/>
  <c r="O22" i="31"/>
  <c r="O30" i="31"/>
  <c r="O34" i="31"/>
  <c r="N143" i="30"/>
  <c r="M143" i="30"/>
  <c r="L143" i="30"/>
  <c r="L142" i="30"/>
  <c r="N142" i="30"/>
  <c r="B89" i="30"/>
  <c r="B42" i="30" s="1"/>
  <c r="P25" i="30"/>
  <c r="O25" i="30"/>
  <c r="P36" i="30"/>
  <c r="O36" i="30"/>
  <c r="M142" i="30"/>
  <c r="O21" i="30"/>
  <c r="O29" i="30"/>
  <c r="O33" i="30"/>
  <c r="O37" i="30"/>
  <c r="A50" i="30"/>
  <c r="F62" i="30"/>
  <c r="K62" i="30"/>
  <c r="A76" i="30"/>
  <c r="P3" i="30"/>
  <c r="O22" i="30"/>
  <c r="O30" i="30"/>
  <c r="O34" i="30"/>
  <c r="N143" i="29"/>
  <c r="M142" i="29"/>
  <c r="M143" i="29"/>
  <c r="L143" i="29"/>
  <c r="L142" i="29"/>
  <c r="N142" i="29"/>
  <c r="B89" i="29"/>
  <c r="B42" i="29" s="1"/>
  <c r="P25" i="29"/>
  <c r="O25" i="29"/>
  <c r="P6" i="29"/>
  <c r="P10" i="29"/>
  <c r="P14" i="29"/>
  <c r="P18" i="29"/>
  <c r="A50" i="29"/>
  <c r="B62" i="29"/>
  <c r="O20" i="29"/>
  <c r="O24" i="29"/>
  <c r="O28" i="29"/>
  <c r="O32" i="29"/>
  <c r="O36" i="29"/>
  <c r="F62" i="29"/>
  <c r="O4" i="29"/>
  <c r="O8" i="29"/>
  <c r="O12" i="29"/>
  <c r="O16" i="29"/>
  <c r="K62" i="29"/>
  <c r="O31" i="29"/>
  <c r="O22" i="29"/>
  <c r="O30" i="29"/>
  <c r="O34" i="29"/>
  <c r="N143" i="28"/>
  <c r="L143" i="28"/>
  <c r="M143" i="28"/>
  <c r="L142" i="28"/>
  <c r="B89" i="28"/>
  <c r="B42" i="28" s="1"/>
  <c r="M142" i="28"/>
  <c r="N142" i="28"/>
  <c r="P25" i="28"/>
  <c r="O25" i="28"/>
  <c r="P36" i="28"/>
  <c r="O36" i="28"/>
  <c r="P6" i="28"/>
  <c r="P10" i="28"/>
  <c r="P14" i="28"/>
  <c r="P18" i="28"/>
  <c r="O21" i="28"/>
  <c r="O29" i="28"/>
  <c r="O33" i="28"/>
  <c r="O37" i="28"/>
  <c r="A50" i="28"/>
  <c r="F62" i="28"/>
  <c r="O4" i="28"/>
  <c r="O8" i="28"/>
  <c r="O12" i="28"/>
  <c r="O16" i="28"/>
  <c r="K62" i="28"/>
  <c r="O22" i="28"/>
  <c r="O30" i="28"/>
  <c r="O34" i="28"/>
  <c r="M143" i="27"/>
  <c r="L143" i="27"/>
  <c r="L142" i="27"/>
  <c r="M142" i="27"/>
  <c r="S89" i="27"/>
  <c r="F114" i="27" s="1"/>
  <c r="B152" i="27" s="1"/>
  <c r="P25" i="27"/>
  <c r="O25" i="27"/>
  <c r="N142" i="27"/>
  <c r="N143" i="27"/>
  <c r="P6" i="27"/>
  <c r="P10" i="27"/>
  <c r="P14" i="27"/>
  <c r="P18" i="27"/>
  <c r="O21" i="27"/>
  <c r="O29" i="27"/>
  <c r="O33" i="27"/>
  <c r="O37" i="27"/>
  <c r="A50" i="27"/>
  <c r="F62" i="27"/>
  <c r="O23" i="27"/>
  <c r="O27" i="27"/>
  <c r="O31" i="27"/>
  <c r="O35" i="27"/>
  <c r="A76" i="27"/>
  <c r="P27" i="27"/>
  <c r="M142" i="26"/>
  <c r="M143" i="26"/>
  <c r="L142" i="26"/>
  <c r="N142" i="26"/>
  <c r="N143" i="26"/>
  <c r="L143" i="26"/>
  <c r="P25" i="26"/>
  <c r="O21" i="26"/>
  <c r="O25" i="26"/>
  <c r="O29" i="26"/>
  <c r="O33" i="26"/>
  <c r="O37" i="26"/>
  <c r="A50" i="26"/>
  <c r="F62" i="26"/>
  <c r="K62" i="26"/>
  <c r="A76" i="26"/>
  <c r="B89" i="26"/>
  <c r="B42" i="26" s="1"/>
  <c r="A48" i="26"/>
  <c r="O22" i="26"/>
  <c r="O26" i="26"/>
  <c r="O30" i="26"/>
  <c r="O34" i="26"/>
  <c r="M143" i="25"/>
  <c r="N143" i="25"/>
  <c r="L143" i="25"/>
  <c r="L142" i="25"/>
  <c r="N142" i="25"/>
  <c r="S89" i="25"/>
  <c r="F114" i="25" s="1"/>
  <c r="B152" i="25" s="1"/>
  <c r="M142" i="25"/>
  <c r="P25" i="25"/>
  <c r="O25" i="25"/>
  <c r="P6" i="25"/>
  <c r="P10" i="25"/>
  <c r="P14" i="25"/>
  <c r="P18" i="25"/>
  <c r="A50" i="25"/>
  <c r="B62" i="25"/>
  <c r="O20" i="25"/>
  <c r="O24" i="25"/>
  <c r="O28" i="25"/>
  <c r="O32" i="25"/>
  <c r="O36" i="25"/>
  <c r="F62" i="25"/>
  <c r="O4" i="25"/>
  <c r="O8" i="25"/>
  <c r="O12" i="25"/>
  <c r="O16" i="25"/>
  <c r="K62" i="25"/>
  <c r="O31" i="25"/>
  <c r="O22" i="25"/>
  <c r="O30" i="25"/>
  <c r="O34" i="25"/>
  <c r="N142" i="23"/>
  <c r="L143" i="23"/>
  <c r="N143" i="23"/>
  <c r="M143" i="23"/>
  <c r="L142" i="23"/>
  <c r="M142" i="23"/>
  <c r="B89" i="23"/>
  <c r="B42" i="23" s="1"/>
  <c r="P36" i="23"/>
  <c r="P25" i="23"/>
  <c r="O25" i="23"/>
  <c r="P6" i="23"/>
  <c r="P10" i="23"/>
  <c r="P14" i="23"/>
  <c r="P18" i="23"/>
  <c r="A50" i="23"/>
  <c r="O20" i="23"/>
  <c r="O24" i="23"/>
  <c r="O28" i="23"/>
  <c r="O32" i="23"/>
  <c r="O36" i="23"/>
  <c r="F62" i="23"/>
  <c r="A76" i="23"/>
  <c r="O3" i="23"/>
  <c r="O11" i="23"/>
  <c r="O15" i="23"/>
  <c r="O19" i="23"/>
  <c r="P31" i="23"/>
  <c r="N142" i="22"/>
  <c r="L143" i="22"/>
  <c r="N143" i="22"/>
  <c r="L142" i="22"/>
  <c r="S89" i="22"/>
  <c r="F114" i="22" s="1"/>
  <c r="B152" i="22" s="1"/>
  <c r="O25" i="22"/>
  <c r="M142" i="22"/>
  <c r="P26" i="22"/>
  <c r="O26" i="22"/>
  <c r="M143" i="22"/>
  <c r="O21" i="22"/>
  <c r="O29" i="22"/>
  <c r="O33" i="22"/>
  <c r="O37" i="22"/>
  <c r="A50" i="22"/>
  <c r="P37" i="22"/>
  <c r="O20" i="22"/>
  <c r="O24" i="22"/>
  <c r="O28" i="22"/>
  <c r="O32" i="22"/>
  <c r="F62" i="22"/>
  <c r="P25" i="22"/>
  <c r="K62" i="22"/>
  <c r="O27" i="22"/>
  <c r="O31" i="22"/>
  <c r="O3" i="22"/>
  <c r="O7" i="22"/>
  <c r="O11" i="22"/>
  <c r="O15" i="22"/>
  <c r="O19" i="22"/>
  <c r="P31" i="22"/>
  <c r="P3" i="22"/>
  <c r="N142" i="21"/>
  <c r="N143" i="21"/>
  <c r="L143" i="21"/>
  <c r="L142" i="21"/>
  <c r="M143" i="21"/>
  <c r="P25" i="21"/>
  <c r="O25" i="21"/>
  <c r="M142" i="21"/>
  <c r="P2" i="21"/>
  <c r="P6" i="21"/>
  <c r="P10" i="21"/>
  <c r="P14" i="21"/>
  <c r="P18" i="21"/>
  <c r="A50" i="21"/>
  <c r="B62" i="21"/>
  <c r="O20" i="21"/>
  <c r="O24" i="21"/>
  <c r="O28" i="21"/>
  <c r="O32" i="21"/>
  <c r="O36" i="21"/>
  <c r="F62" i="21"/>
  <c r="K62" i="21"/>
  <c r="O27" i="21"/>
  <c r="O31" i="21"/>
  <c r="A76" i="21"/>
  <c r="B89" i="21"/>
  <c r="B42" i="21" s="1"/>
  <c r="M142" i="20"/>
  <c r="M143" i="20"/>
  <c r="L142" i="20"/>
  <c r="B89" i="20"/>
  <c r="B42" i="20" s="1"/>
  <c r="N142" i="20"/>
  <c r="P25" i="20"/>
  <c r="O25" i="20"/>
  <c r="N143" i="20"/>
  <c r="L143" i="20"/>
  <c r="P6" i="20"/>
  <c r="P10" i="20"/>
  <c r="P14" i="20"/>
  <c r="P18" i="20"/>
  <c r="A50" i="20"/>
  <c r="O20" i="20"/>
  <c r="O24" i="20"/>
  <c r="O28" i="20"/>
  <c r="O32" i="20"/>
  <c r="O36" i="20"/>
  <c r="F62" i="20"/>
  <c r="K62" i="20"/>
  <c r="O31" i="20"/>
  <c r="O22" i="20"/>
  <c r="O30" i="20"/>
  <c r="O34" i="20"/>
  <c r="N142" i="19"/>
  <c r="N143" i="19"/>
  <c r="M142" i="19"/>
  <c r="M143" i="19"/>
  <c r="L143" i="19"/>
  <c r="L142" i="19"/>
  <c r="P25" i="19"/>
  <c r="O25" i="19"/>
  <c r="P2" i="19"/>
  <c r="P6" i="19"/>
  <c r="P10" i="19"/>
  <c r="P14" i="19"/>
  <c r="P18" i="19"/>
  <c r="A50" i="19"/>
  <c r="B62" i="19"/>
  <c r="O20" i="19"/>
  <c r="O24" i="19"/>
  <c r="O28" i="19"/>
  <c r="O32" i="19"/>
  <c r="O36" i="19"/>
  <c r="F62" i="19"/>
  <c r="K62" i="19"/>
  <c r="O31" i="19"/>
  <c r="B89" i="19"/>
  <c r="B42" i="19" s="1"/>
  <c r="O22" i="19"/>
  <c r="O30" i="19"/>
  <c r="O34" i="19"/>
  <c r="N143" i="18"/>
  <c r="M143" i="18"/>
  <c r="L143" i="18"/>
  <c r="L142" i="18"/>
  <c r="N142" i="18"/>
  <c r="P25" i="18"/>
  <c r="O25" i="18"/>
  <c r="M142" i="18"/>
  <c r="P6" i="18"/>
  <c r="P10" i="18"/>
  <c r="P14" i="18"/>
  <c r="P18" i="18"/>
  <c r="A50" i="18"/>
  <c r="B62" i="18"/>
  <c r="O20" i="18"/>
  <c r="O24" i="18"/>
  <c r="O28" i="18"/>
  <c r="O32" i="18"/>
  <c r="O36" i="18"/>
  <c r="F62" i="18"/>
  <c r="O27" i="18"/>
  <c r="O31" i="18"/>
  <c r="A76" i="18"/>
  <c r="B89" i="18"/>
  <c r="B42" i="18" s="1"/>
  <c r="M143" i="17"/>
  <c r="L143" i="17"/>
  <c r="L142" i="17"/>
  <c r="M142" i="17"/>
  <c r="B89" i="17"/>
  <c r="B42" i="17" s="1"/>
  <c r="N142" i="17"/>
  <c r="P36" i="17"/>
  <c r="O36" i="17"/>
  <c r="N143" i="17"/>
  <c r="P25" i="17"/>
  <c r="O25" i="17"/>
  <c r="P6" i="17"/>
  <c r="P10" i="17"/>
  <c r="P14" i="17"/>
  <c r="P18" i="17"/>
  <c r="O21" i="17"/>
  <c r="O29" i="17"/>
  <c r="O33" i="17"/>
  <c r="O37" i="17"/>
  <c r="A50" i="17"/>
  <c r="F62" i="17"/>
  <c r="O4" i="17"/>
  <c r="O8" i="17"/>
  <c r="O12" i="17"/>
  <c r="O16" i="17"/>
  <c r="A76" i="17"/>
  <c r="O3" i="17"/>
  <c r="M143" i="16"/>
  <c r="P36" i="16"/>
  <c r="N143" i="16"/>
  <c r="P25" i="16"/>
  <c r="O25" i="16"/>
  <c r="L143" i="16"/>
  <c r="L142" i="16"/>
  <c r="M142" i="16"/>
  <c r="P6" i="16"/>
  <c r="P10" i="16"/>
  <c r="P14" i="16"/>
  <c r="P18" i="16"/>
  <c r="A50" i="16"/>
  <c r="B62" i="16"/>
  <c r="O20" i="16"/>
  <c r="O24" i="16"/>
  <c r="O28" i="16"/>
  <c r="O32" i="16"/>
  <c r="O36" i="16"/>
  <c r="F62" i="16"/>
  <c r="O27" i="16"/>
  <c r="O31" i="16"/>
  <c r="A76" i="16"/>
  <c r="B89" i="16"/>
  <c r="B42" i="16" s="1"/>
  <c r="M142" i="15"/>
  <c r="M143" i="15"/>
  <c r="L143" i="15"/>
  <c r="L142" i="15"/>
  <c r="B89" i="15"/>
  <c r="B42" i="15" s="1"/>
  <c r="P36" i="15"/>
  <c r="O36" i="15"/>
  <c r="N142" i="15"/>
  <c r="P25" i="15"/>
  <c r="O25" i="15"/>
  <c r="N143" i="15"/>
  <c r="P6" i="15"/>
  <c r="P10" i="15"/>
  <c r="P14" i="15"/>
  <c r="P18" i="15"/>
  <c r="O21" i="15"/>
  <c r="O29" i="15"/>
  <c r="O33" i="15"/>
  <c r="O37" i="15"/>
  <c r="A50" i="15"/>
  <c r="F62" i="15"/>
  <c r="O4" i="15"/>
  <c r="O8" i="15"/>
  <c r="O12" i="15"/>
  <c r="O16" i="15"/>
  <c r="K62" i="15"/>
  <c r="O22" i="15"/>
  <c r="O30" i="15"/>
  <c r="O34" i="15"/>
  <c r="N143" i="13"/>
  <c r="N142" i="13"/>
  <c r="M142" i="13"/>
  <c r="M143" i="13"/>
  <c r="L143" i="13"/>
  <c r="L142" i="13"/>
  <c r="P25" i="13"/>
  <c r="O25" i="13"/>
  <c r="P6" i="13"/>
  <c r="P10" i="13"/>
  <c r="P14" i="13"/>
  <c r="P18" i="13"/>
  <c r="A50" i="13"/>
  <c r="B62" i="13"/>
  <c r="O20" i="13"/>
  <c r="O24" i="13"/>
  <c r="O28" i="13"/>
  <c r="O32" i="13"/>
  <c r="O36" i="13"/>
  <c r="F62" i="13"/>
  <c r="K62" i="13"/>
  <c r="O31" i="13"/>
  <c r="B89" i="13"/>
  <c r="B42" i="13" s="1"/>
  <c r="F76" i="13"/>
  <c r="O22" i="13"/>
  <c r="O30" i="13"/>
  <c r="O34" i="13"/>
  <c r="M143" i="12"/>
  <c r="L143" i="12"/>
  <c r="L142" i="12"/>
  <c r="M142" i="12"/>
  <c r="S89" i="12"/>
  <c r="F114" i="12" s="1"/>
  <c r="B152" i="12" s="1"/>
  <c r="N142" i="12"/>
  <c r="N143" i="12"/>
  <c r="P25" i="12"/>
  <c r="O25" i="12"/>
  <c r="P6" i="12"/>
  <c r="P10" i="12"/>
  <c r="P14" i="12"/>
  <c r="P18" i="12"/>
  <c r="A50" i="12"/>
  <c r="B62" i="12"/>
  <c r="O20" i="12"/>
  <c r="O24" i="12"/>
  <c r="O28" i="12"/>
  <c r="O32" i="12"/>
  <c r="O36" i="12"/>
  <c r="F62" i="12"/>
  <c r="O31" i="12"/>
  <c r="A76" i="12"/>
  <c r="L143" i="11"/>
  <c r="M142" i="11"/>
  <c r="M143" i="11"/>
  <c r="L142" i="11"/>
  <c r="S89" i="11"/>
  <c r="F114" i="11" s="1"/>
  <c r="B152" i="11" s="1"/>
  <c r="N142" i="11"/>
  <c r="N143" i="11"/>
  <c r="P25" i="11"/>
  <c r="O25" i="11"/>
  <c r="P6" i="11"/>
  <c r="P10" i="11"/>
  <c r="P14" i="11"/>
  <c r="P18" i="11"/>
  <c r="A50" i="11"/>
  <c r="B62" i="11"/>
  <c r="O20" i="11"/>
  <c r="O24" i="11"/>
  <c r="O28" i="11"/>
  <c r="O32" i="11"/>
  <c r="F62" i="11"/>
  <c r="K62" i="11"/>
  <c r="O27" i="11"/>
  <c r="A48" i="11"/>
  <c r="O22" i="11"/>
  <c r="O30" i="11"/>
  <c r="O34" i="11"/>
  <c r="L143" i="9"/>
  <c r="L142" i="9"/>
  <c r="P25" i="9"/>
  <c r="O25" i="9"/>
  <c r="N142" i="9"/>
  <c r="N143" i="9"/>
  <c r="P26" i="9"/>
  <c r="M143" i="9"/>
  <c r="M142" i="9"/>
  <c r="A50" i="9"/>
  <c r="O20" i="9"/>
  <c r="O24" i="9"/>
  <c r="O28" i="9"/>
  <c r="O32" i="9"/>
  <c r="F62" i="9"/>
  <c r="K62" i="9"/>
  <c r="B89" i="9"/>
  <c r="B42" i="9" s="1"/>
  <c r="P3" i="9"/>
  <c r="O22" i="9"/>
  <c r="O26" i="9"/>
  <c r="O30" i="9"/>
  <c r="O34" i="9"/>
  <c r="N142" i="8"/>
  <c r="L142" i="8"/>
  <c r="M143" i="8"/>
  <c r="M142" i="8"/>
  <c r="S89" i="8"/>
  <c r="F114" i="8" s="1"/>
  <c r="B152" i="8" s="1"/>
  <c r="N143" i="8"/>
  <c r="L143" i="8"/>
  <c r="P25" i="8"/>
  <c r="O25" i="8"/>
  <c r="P6" i="8"/>
  <c r="P10" i="8"/>
  <c r="P14" i="8"/>
  <c r="P18" i="8"/>
  <c r="O21" i="8"/>
  <c r="O29" i="8"/>
  <c r="O33" i="8"/>
  <c r="O37" i="8"/>
  <c r="A50" i="8"/>
  <c r="F62" i="8"/>
  <c r="K62" i="8"/>
  <c r="A76" i="8"/>
  <c r="O10" i="8"/>
  <c r="L143" i="7"/>
  <c r="N143" i="7"/>
  <c r="M142" i="7"/>
  <c r="M143" i="7"/>
  <c r="L142" i="7"/>
  <c r="B89" i="7"/>
  <c r="B42" i="7" s="1"/>
  <c r="N142" i="7"/>
  <c r="O25" i="7"/>
  <c r="P25" i="7"/>
  <c r="O5" i="7"/>
  <c r="O9" i="7"/>
  <c r="O13" i="7"/>
  <c r="O17" i="7"/>
  <c r="O20" i="7"/>
  <c r="O24" i="7"/>
  <c r="O28" i="7"/>
  <c r="O32" i="7"/>
  <c r="O36" i="7"/>
  <c r="F62" i="7"/>
  <c r="O4" i="7"/>
  <c r="O8" i="7"/>
  <c r="O12" i="7"/>
  <c r="O16" i="7"/>
  <c r="K62" i="7"/>
  <c r="O31" i="7"/>
  <c r="A76" i="7"/>
  <c r="P3" i="7"/>
  <c r="O22" i="7"/>
  <c r="O30" i="7"/>
  <c r="O34" i="7"/>
  <c r="L143" i="6"/>
  <c r="M143" i="6"/>
  <c r="L142" i="6"/>
  <c r="M142" i="6"/>
  <c r="B89" i="6"/>
  <c r="B42" i="6" s="1"/>
  <c r="P36" i="6"/>
  <c r="O36" i="6"/>
  <c r="N142" i="6"/>
  <c r="N143" i="6"/>
  <c r="P25" i="6"/>
  <c r="O25" i="6"/>
  <c r="P6" i="6"/>
  <c r="P10" i="6"/>
  <c r="P14" i="6"/>
  <c r="P18" i="6"/>
  <c r="O21" i="6"/>
  <c r="O29" i="6"/>
  <c r="O33" i="6"/>
  <c r="O37" i="6"/>
  <c r="A50" i="6"/>
  <c r="F62" i="6"/>
  <c r="O4" i="6"/>
  <c r="O8" i="6"/>
  <c r="O12" i="6"/>
  <c r="O16" i="6"/>
  <c r="A76" i="6"/>
  <c r="O3" i="6"/>
  <c r="N143" i="5"/>
  <c r="M143" i="5"/>
  <c r="L143" i="5"/>
  <c r="L142" i="5"/>
  <c r="M142" i="5"/>
  <c r="N142" i="5"/>
  <c r="P25" i="5"/>
  <c r="O25" i="5"/>
  <c r="P2" i="5"/>
  <c r="P6" i="5"/>
  <c r="P10" i="5"/>
  <c r="P14" i="5"/>
  <c r="P18" i="5"/>
  <c r="A50" i="5"/>
  <c r="B62" i="5"/>
  <c r="O20" i="5"/>
  <c r="O24" i="5"/>
  <c r="O28" i="5"/>
  <c r="O32" i="5"/>
  <c r="F62" i="5"/>
  <c r="K62" i="5"/>
  <c r="O23" i="5"/>
  <c r="O27" i="5"/>
  <c r="O31" i="5"/>
  <c r="O35" i="5"/>
  <c r="A76" i="5"/>
  <c r="B89" i="5"/>
  <c r="B42" i="5" s="1"/>
  <c r="M143" i="4"/>
  <c r="L143" i="4"/>
  <c r="L142" i="4"/>
  <c r="S89" i="4"/>
  <c r="F114" i="4" s="1"/>
  <c r="B152" i="4" s="1"/>
  <c r="P36" i="4"/>
  <c r="O25" i="4"/>
  <c r="P6" i="4"/>
  <c r="P10" i="4"/>
  <c r="P14" i="4"/>
  <c r="P18" i="4"/>
  <c r="O21" i="4"/>
  <c r="O29" i="4"/>
  <c r="O33" i="4"/>
  <c r="O37" i="4"/>
  <c r="A50" i="4"/>
  <c r="F62" i="4"/>
  <c r="O4" i="4"/>
  <c r="O8" i="4"/>
  <c r="O12" i="4"/>
  <c r="O16" i="4"/>
  <c r="P25" i="4"/>
  <c r="O27" i="4"/>
  <c r="O31" i="4"/>
  <c r="A76" i="4"/>
  <c r="P31" i="4"/>
  <c r="P26" i="36" l="1"/>
  <c r="O26" i="36"/>
  <c r="P26" i="35"/>
  <c r="O26" i="35"/>
  <c r="P26" i="34"/>
  <c r="O26" i="34"/>
  <c r="P36" i="33"/>
  <c r="O36" i="33"/>
  <c r="P26" i="32"/>
  <c r="O26" i="32"/>
  <c r="P36" i="31"/>
  <c r="O36" i="31"/>
  <c r="P26" i="30"/>
  <c r="O26" i="30"/>
  <c r="P26" i="29"/>
  <c r="O26" i="29"/>
  <c r="P26" i="28"/>
  <c r="O26" i="28"/>
  <c r="P36" i="27"/>
  <c r="O36" i="27"/>
  <c r="P26" i="27"/>
  <c r="O26" i="27"/>
  <c r="P36" i="26"/>
  <c r="O36" i="26"/>
  <c r="P26" i="25"/>
  <c r="O26" i="25"/>
  <c r="P26" i="23"/>
  <c r="O26" i="23"/>
  <c r="P36" i="22"/>
  <c r="O36" i="22"/>
  <c r="P26" i="21"/>
  <c r="O26" i="21"/>
  <c r="P26" i="20"/>
  <c r="O26" i="20"/>
  <c r="P26" i="19"/>
  <c r="O26" i="19"/>
  <c r="P26" i="18"/>
  <c r="O26" i="18"/>
  <c r="P26" i="17"/>
  <c r="O26" i="17"/>
  <c r="P26" i="16"/>
  <c r="O26" i="16"/>
  <c r="P26" i="15"/>
  <c r="O26" i="15"/>
  <c r="P26" i="13"/>
  <c r="O26" i="13"/>
  <c r="P26" i="12"/>
  <c r="O26" i="12"/>
  <c r="P26" i="11"/>
  <c r="O26" i="11"/>
  <c r="P36" i="11"/>
  <c r="O36" i="11"/>
  <c r="P36" i="9"/>
  <c r="O36" i="9"/>
  <c r="P36" i="8"/>
  <c r="O36" i="8"/>
  <c r="P26" i="8"/>
  <c r="O26" i="8"/>
  <c r="P26" i="7"/>
  <c r="O26" i="7"/>
  <c r="P26" i="6"/>
  <c r="O26" i="6"/>
  <c r="P26" i="5"/>
  <c r="O26" i="5"/>
  <c r="P36" i="5"/>
  <c r="O36" i="5"/>
  <c r="P26" i="4"/>
  <c r="O26" i="4"/>
</calcChain>
</file>

<file path=xl/sharedStrings.xml><?xml version="1.0" encoding="utf-8"?>
<sst xmlns="http://schemas.openxmlformats.org/spreadsheetml/2006/main" count="5546" uniqueCount="651">
  <si>
    <t>Contents</t>
  </si>
  <si>
    <t>Segments in this document:</t>
  </si>
  <si>
    <t>Summary Table</t>
  </si>
  <si>
    <t>Back to
home page</t>
  </si>
  <si>
    <t>Fleet segment</t>
  </si>
  <si>
    <t>Main stock by value</t>
  </si>
  <si>
    <t>No. Vessels</t>
  </si>
  <si>
    <t>Average days at sea per vessel</t>
  </si>
  <si>
    <t>Total landings (tonnes)</t>
  </si>
  <si>
    <t>Landing per kW day at sea (kg)</t>
  </si>
  <si>
    <t>Income per kW day at sea (£)</t>
  </si>
  <si>
    <t>Total cost per kW day at sea (£)</t>
  </si>
  <si>
    <t>Operating profit per kW day at sea (£)</t>
  </si>
  <si>
    <t>2021 data only</t>
  </si>
  <si>
    <t>Landing per kW day at sea
2012-2021
(% change)</t>
  </si>
  <si>
    <t>Summary 2021</t>
  </si>
  <si>
    <t>2020 data only</t>
  </si>
  <si>
    <t>Landing per kW day at sea
2011-2020
(% change)</t>
  </si>
  <si>
    <t>Summary 2020</t>
  </si>
  <si>
    <t>Area VIIA demersal trawl</t>
  </si>
  <si>
    <t>Haddock</t>
  </si>
  <si>
    <t>ô</t>
  </si>
  <si>
    <t>ø</t>
  </si>
  <si>
    <t>Adjusted values (£)</t>
  </si>
  <si>
    <t>Back to home page</t>
  </si>
  <si>
    <t>Variable</t>
  </si>
  <si>
    <t>Segment totals</t>
  </si>
  <si>
    <t>Vessel characteristics
(Average per vessel)</t>
  </si>
  <si>
    <t>Average price per tonne landed (£)</t>
  </si>
  <si>
    <t>Performance indicators</t>
  </si>
  <si>
    <t>Income, costs and profit
(Average per vessel)</t>
  </si>
  <si>
    <t>Notes:</t>
  </si>
  <si>
    <t xml:space="preserve">Sample rate for vessel characteristics and fishing income is 100%, taken from official data. Sample rates for non-fishing income and costs vary due to availability of financial accounts. See sample rate tab for details. </t>
  </si>
  <si>
    <t>Indicator</t>
  </si>
  <si>
    <t>Landings</t>
  </si>
  <si>
    <t>Income</t>
  </si>
  <si>
    <t>Costs</t>
  </si>
  <si>
    <t>Profit</t>
  </si>
  <si>
    <t>(per kilowatt day at sea)</t>
  </si>
  <si>
    <t>Trend</t>
  </si>
  <si>
    <t>Graphical Interpretation</t>
  </si>
  <si>
    <t>adjusted to 2021 prices</t>
  </si>
  <si>
    <t>nominal values</t>
  </si>
  <si>
    <t>Nominal values (£)</t>
  </si>
  <si>
    <t>Quartiles</t>
  </si>
  <si>
    <t>Most
profitable
quartile</t>
  </si>
  <si>
    <t>Middle
two quartiles</t>
  </si>
  <si>
    <t>Least
profitable
quartile</t>
  </si>
  <si>
    <t>Segment
average</t>
  </si>
  <si>
    <t>Fuel efficiency</t>
  </si>
  <si>
    <t>Earnings &amp; Costs</t>
  </si>
  <si>
    <t>Quartiles are based on operating profit margin.</t>
  </si>
  <si>
    <t>Version: June 2022</t>
  </si>
  <si>
    <t>Trend
2011-2021</t>
  </si>
  <si>
    <t>Active vessels (#)</t>
  </si>
  <si>
    <t>Power (kW)</t>
  </si>
  <si>
    <t>Registered Tonnage (GT)</t>
  </si>
  <si>
    <t>VCU (unit)</t>
  </si>
  <si>
    <t>Landings (tonnes)</t>
  </si>
  <si>
    <t>Fishing Income (£ million)</t>
  </si>
  <si>
    <t>Days at Sea (days)</t>
  </si>
  <si>
    <t>FTEs (#)</t>
  </si>
  <si>
    <t>Length (m)</t>
  </si>
  <si>
    <t>Fishing Income (£'000)</t>
  </si>
  <si>
    <t>Vessel Age (year)</t>
  </si>
  <si>
    <t>Landings per day at sea (tonnes)</t>
  </si>
  <si>
    <t>Landings per kW day at sea (kg)</t>
  </si>
  <si>
    <t>Fishing income per kW day at sea (£)</t>
  </si>
  <si>
    <t>Fishing income per FTE (£'000)</t>
  </si>
  <si>
    <t>Operating profit per FTE (£'000)</t>
  </si>
  <si>
    <t>Non Fishing Income (£'000)</t>
  </si>
  <si>
    <t>Total Income (£'000)</t>
  </si>
  <si>
    <t>Fuel (£'000)</t>
  </si>
  <si>
    <t>Crew share (£'000)</t>
  </si>
  <si>
    <t>Other Fishing Costs (£'000)</t>
  </si>
  <si>
    <t>Total Fishing Costs (£'000)</t>
  </si>
  <si>
    <t>Total Vessel Costs (£'000)</t>
  </si>
  <si>
    <t>Total Costs (£'000)</t>
  </si>
  <si>
    <t>Gross Value Added (£'000)</t>
  </si>
  <si>
    <t>Operating Profit (£'000)</t>
  </si>
  <si>
    <t>Depreciation (£'000)</t>
  </si>
  <si>
    <t>Interest (£'000)</t>
  </si>
  <si>
    <t>Other Finance Costs (£'000)</t>
  </si>
  <si>
    <t>Net Profit (£'000)</t>
  </si>
  <si>
    <t>Performance indicators 2011-2020</t>
  </si>
  <si>
    <t>Haddock - 59.5%</t>
  </si>
  <si>
    <t>Haddock - 52.3%</t>
  </si>
  <si>
    <t>Top 5 landed species by value 2012-2021</t>
  </si>
  <si>
    <t>Hake - 9.0%</t>
  </si>
  <si>
    <t>Cod - 16.4%</t>
  </si>
  <si>
    <t>Cod - 8.7%</t>
  </si>
  <si>
    <t>Hake - 12.5%</t>
  </si>
  <si>
    <t>Scallops - 4.3%</t>
  </si>
  <si>
    <t>Scallops - 5.0%</t>
  </si>
  <si>
    <t>Queen Scallops - 3.0%</t>
  </si>
  <si>
    <t>Pollack - 3.5%</t>
  </si>
  <si>
    <t>Others - 15.5%</t>
  </si>
  <si>
    <t>Others - 10.1%</t>
  </si>
  <si>
    <t>Cod</t>
  </si>
  <si>
    <t>Hake</t>
  </si>
  <si>
    <t>Scallops</t>
  </si>
  <si>
    <t>Pollack</t>
  </si>
  <si>
    <t>Nephrops</t>
  </si>
  <si>
    <t>Cuttlefish</t>
  </si>
  <si>
    <t>Brown Crab</t>
  </si>
  <si>
    <t>Queen Scallops</t>
  </si>
  <si>
    <t>Thornback Ray</t>
  </si>
  <si>
    <t>Others</t>
  </si>
  <si>
    <t>&lt;5</t>
  </si>
  <si>
    <t>Annual cost of fuel (£'000)</t>
  </si>
  <si>
    <t>Annual fuel use (litre)</t>
  </si>
  <si>
    <t>Fuel use per day (litre)</t>
  </si>
  <si>
    <t>Cost of fuel per day (£)</t>
  </si>
  <si>
    <t>Cost of fuel per tonne landed (£)</t>
  </si>
  <si>
    <t>Total income</t>
  </si>
  <si>
    <t>Total income (£'000)</t>
  </si>
  <si>
    <t>Operating costs</t>
  </si>
  <si>
    <t>Operating costs (£'000)</t>
  </si>
  <si>
    <t>Operating profit</t>
  </si>
  <si>
    <t>Operating profit (£'000)</t>
  </si>
  <si>
    <t>Value in £'000</t>
  </si>
  <si>
    <t>Total income, operating costs and operating profit  in 2020</t>
  </si>
  <si>
    <t>Middle 
two quartiles</t>
  </si>
  <si>
    <t>color</t>
  </si>
  <si>
    <t>Top 5 landed species by volume in 2020</t>
  </si>
  <si>
    <t>Top 5 landed species by value in 2020</t>
  </si>
  <si>
    <t>Whiting</t>
  </si>
  <si>
    <t>Les. Spot. Dog</t>
  </si>
  <si>
    <t>Plaice</t>
  </si>
  <si>
    <t>Area VIIA nephrops over 250kW</t>
  </si>
  <si>
    <t>ö</t>
  </si>
  <si>
    <t>Nephrops - 84.0%</t>
  </si>
  <si>
    <t>Nephrops - 92.3%</t>
  </si>
  <si>
    <t>Les. Spot. Dog - 10.2%</t>
  </si>
  <si>
    <t>Anglerfish - 2.2%</t>
  </si>
  <si>
    <t>Anglerfish - 1.9%</t>
  </si>
  <si>
    <t>Les. Spot. Dog - 1.3%</t>
  </si>
  <si>
    <t>Haddock - 1.3%</t>
  </si>
  <si>
    <t>Haddock - 1.1%</t>
  </si>
  <si>
    <t>Cod - 0.5%</t>
  </si>
  <si>
    <t>Cod - 0.8%</t>
  </si>
  <si>
    <t>Others - 2.1%</t>
  </si>
  <si>
    <t>Others - 2.3%</t>
  </si>
  <si>
    <t>Anglerfish</t>
  </si>
  <si>
    <t>Sole</t>
  </si>
  <si>
    <t>Squid</t>
  </si>
  <si>
    <t>Brill</t>
  </si>
  <si>
    <t>Turbot</t>
  </si>
  <si>
    <t>Area VIIA nephrops under 250kW</t>
  </si>
  <si>
    <t>ð</t>
  </si>
  <si>
    <t>Nephrops - 83.4%</t>
  </si>
  <si>
    <t>Nephrops - 86.6%</t>
  </si>
  <si>
    <t>Scallops - 6.0%</t>
  </si>
  <si>
    <t>Scallops - 7.6%</t>
  </si>
  <si>
    <t>Les. Spot. Dog - 3.8%</t>
  </si>
  <si>
    <t>Anglerfish - 1.4%</t>
  </si>
  <si>
    <t>Brown Crab - 0.5%</t>
  </si>
  <si>
    <t>Thornback Ray - 1.0%</t>
  </si>
  <si>
    <t>Les. Spot. Dog - 0.5%</t>
  </si>
  <si>
    <t>Others - 4.4%</t>
  </si>
  <si>
    <t>Others - 3.4%</t>
  </si>
  <si>
    <t>Mussels</t>
  </si>
  <si>
    <t>Razor Clam</t>
  </si>
  <si>
    <t>Area VIIBCDEFGHK 24-40m</t>
  </si>
  <si>
    <t>Anglerfish - 39.5%</t>
  </si>
  <si>
    <t>Anglerfish - 47.2%</t>
  </si>
  <si>
    <t>Megrim - 25.5%</t>
  </si>
  <si>
    <t>Megrim - 25.7%</t>
  </si>
  <si>
    <t>Hake - 5.5%</t>
  </si>
  <si>
    <t>Nephrops - 4.4%</t>
  </si>
  <si>
    <t>Witch - 4.2%</t>
  </si>
  <si>
    <t>Hake - 3.8%</t>
  </si>
  <si>
    <t>Haddock - 3.2%</t>
  </si>
  <si>
    <t>Others - 21.1%</t>
  </si>
  <si>
    <t>Others - 15.7%</t>
  </si>
  <si>
    <t>Megrim</t>
  </si>
  <si>
    <t>Witch</t>
  </si>
  <si>
    <t>John Dory</t>
  </si>
  <si>
    <t>Red Mullet</t>
  </si>
  <si>
    <t>European Flying Squid</t>
  </si>
  <si>
    <t>Area VIIBCDEFGHK trawlers 10-24m</t>
  </si>
  <si>
    <t>Sprats - 12.9%</t>
  </si>
  <si>
    <t>Cuttlefish - 16.2%</t>
  </si>
  <si>
    <t>Cuttlefish - 12.3%</t>
  </si>
  <si>
    <t>Lemon Sole - 12.1%</t>
  </si>
  <si>
    <t>Les. Spot. Dog - 10.7%</t>
  </si>
  <si>
    <t>Anglerfish - 10.9%</t>
  </si>
  <si>
    <t>Blonde Ray - 7.1%</t>
  </si>
  <si>
    <t>Sole - 7.5%</t>
  </si>
  <si>
    <t>Pilchards - 6.3%</t>
  </si>
  <si>
    <t>Blonde Ray - 5.7%</t>
  </si>
  <si>
    <t>Others - 50.6%</t>
  </si>
  <si>
    <t>Others - 47.6%</t>
  </si>
  <si>
    <t>Lemon Sole</t>
  </si>
  <si>
    <t>Blonde Ray</t>
  </si>
  <si>
    <t>Sprats</t>
  </si>
  <si>
    <t>Pilchards</t>
  </si>
  <si>
    <t>Gill netters</t>
  </si>
  <si>
    <t>Anglerfish - 36.4%</t>
  </si>
  <si>
    <t>Anglerfish - 45.7%</t>
  </si>
  <si>
    <t>Pilchards - 29.9%</t>
  </si>
  <si>
    <t>Hake - 27.9%</t>
  </si>
  <si>
    <t>Hake - 17.4%</t>
  </si>
  <si>
    <t>Pollack - 8.7%</t>
  </si>
  <si>
    <t>Pollack - 6.6%</t>
  </si>
  <si>
    <t>Pilchards - 5.1%</t>
  </si>
  <si>
    <t>Haddock - 2.1%</t>
  </si>
  <si>
    <t>Turbot - 3.1%</t>
  </si>
  <si>
    <t>Others - 7.5%</t>
  </si>
  <si>
    <t>Others - 9.6%</t>
  </si>
  <si>
    <t>Ling</t>
  </si>
  <si>
    <t>Crawfish</t>
  </si>
  <si>
    <t>Anchovy</t>
  </si>
  <si>
    <t>Mackerel</t>
  </si>
  <si>
    <t>Longliners</t>
  </si>
  <si>
    <t>Hake - 60.6%</t>
  </si>
  <si>
    <t>Hake - 56.6%</t>
  </si>
  <si>
    <t>Ling - 29.6%</t>
  </si>
  <si>
    <t>Ling - 21.2%</t>
  </si>
  <si>
    <t>Razor Clam - 3.7%</t>
  </si>
  <si>
    <t>Razor Clam - 14.1%</t>
  </si>
  <si>
    <t>Scallops - 2.9%</t>
  </si>
  <si>
    <t>Scallops - 5.5%</t>
  </si>
  <si>
    <t>Blue Mouth Redfish - 1.1%</t>
  </si>
  <si>
    <t>Pollack - 1.2%</t>
  </si>
  <si>
    <t>Others - 2.2%</t>
  </si>
  <si>
    <t>Others - 1.3%</t>
  </si>
  <si>
    <t>Blue Ling</t>
  </si>
  <si>
    <t>Bass</t>
  </si>
  <si>
    <t>Blue Mouth Redfish</t>
  </si>
  <si>
    <t>Albacore</t>
  </si>
  <si>
    <t>Greater Forked Beard</t>
  </si>
  <si>
    <t>Low activity over 10m</t>
  </si>
  <si>
    <t>Scallops - 26.5%</t>
  </si>
  <si>
    <t>Nephrops - 25.1%</t>
  </si>
  <si>
    <t>Nephrops - 22.6%</t>
  </si>
  <si>
    <t>Scallops - 23.1%</t>
  </si>
  <si>
    <t>Whelks - 8.9%</t>
  </si>
  <si>
    <t>Lobsters - 12.4%</t>
  </si>
  <si>
    <t>Brown Shrimps - 7.2%</t>
  </si>
  <si>
    <t>Sole - 8.8%</t>
  </si>
  <si>
    <t>Brown Crab - 6.8%</t>
  </si>
  <si>
    <t>Brown Shrimps - 6.5%</t>
  </si>
  <si>
    <t>Others - 28.0%</t>
  </si>
  <si>
    <t>Others - 24.2%</t>
  </si>
  <si>
    <t>Lobsters</t>
  </si>
  <si>
    <t>Brown Shrimps</t>
  </si>
  <si>
    <t>Cockles</t>
  </si>
  <si>
    <t>Whelks</t>
  </si>
  <si>
    <t>Velvet Crab</t>
  </si>
  <si>
    <t>Spider Crabs</t>
  </si>
  <si>
    <t>Low activity under 10m</t>
  </si>
  <si>
    <t>Mackerel - 27.3%</t>
  </si>
  <si>
    <t>Lobsters - 34.0%</t>
  </si>
  <si>
    <t>Brown Crab - 10.5%</t>
  </si>
  <si>
    <t>Bass - 16.7%</t>
  </si>
  <si>
    <t>Velvet Crab - 9.1%</t>
  </si>
  <si>
    <t>Mackerel - 10.4%</t>
  </si>
  <si>
    <t>Lobsters - 8.2%</t>
  </si>
  <si>
    <t>Velvet Crab - 6.4%</t>
  </si>
  <si>
    <t>Bass - 6.1%</t>
  </si>
  <si>
    <t>Brown Crab - 5.7%</t>
  </si>
  <si>
    <t>Others - 38.8%</t>
  </si>
  <si>
    <t>Others - 26.8%</t>
  </si>
  <si>
    <t>Herring</t>
  </si>
  <si>
    <t>Saithe</t>
  </si>
  <si>
    <t>North Sea beam trawl over 300kW</t>
  </si>
  <si>
    <t>Plaice - 62.4%</t>
  </si>
  <si>
    <t>Plaice - 43.6%</t>
  </si>
  <si>
    <t>Sole - 14.6%</t>
  </si>
  <si>
    <t>Sole - 36.1%</t>
  </si>
  <si>
    <t>Turbot - 6.9%</t>
  </si>
  <si>
    <t>Turbot - 10.5%</t>
  </si>
  <si>
    <t>Dabs - 3.8%</t>
  </si>
  <si>
    <t>Brill - 3.0%</t>
  </si>
  <si>
    <t>Brill - 2.2%</t>
  </si>
  <si>
    <t>Dabs - 1.4%</t>
  </si>
  <si>
    <t>Others - 5.4%</t>
  </si>
  <si>
    <t>Dabs</t>
  </si>
  <si>
    <t>Tub Gurnard</t>
  </si>
  <si>
    <t>North Sea beam trawl under 300kW</t>
  </si>
  <si>
    <t>Brown Shrimps - 94.8%</t>
  </si>
  <si>
    <t>Brown Shrimps - 97.1%</t>
  </si>
  <si>
    <t>Whelks - 4.4%</t>
  </si>
  <si>
    <t>Whelks - 2.3%</t>
  </si>
  <si>
    <t>Les. Spot. Dog - 0.3%</t>
  </si>
  <si>
    <t>Sole - 0.2%</t>
  </si>
  <si>
    <t>Plaice - 0.2%</t>
  </si>
  <si>
    <t>Thornback Ray - 0.1%</t>
  </si>
  <si>
    <t>Others - 0.1%</t>
  </si>
  <si>
    <t>Pink Shrimps</t>
  </si>
  <si>
    <t>North Sea nephrops over 300kW</t>
  </si>
  <si>
    <t>Nephrops - 50.8%</t>
  </si>
  <si>
    <t>Nephrops - 61.3%</t>
  </si>
  <si>
    <t>Anglerfish - 10.3%</t>
  </si>
  <si>
    <t>Anglerfish - 13.8%</t>
  </si>
  <si>
    <t>Haddock - 9.6%</t>
  </si>
  <si>
    <t>Haddock - 4.9%</t>
  </si>
  <si>
    <t>Whiting - 8.3%</t>
  </si>
  <si>
    <t>Whiting - 4.2%</t>
  </si>
  <si>
    <t>Sprats - 3.3%</t>
  </si>
  <si>
    <t>Cod - 3.1%</t>
  </si>
  <si>
    <t>Others - 17.7%</t>
  </si>
  <si>
    <t>Others - 12.8%</t>
  </si>
  <si>
    <t>North Sea nephrops under 300kW</t>
  </si>
  <si>
    <t>Nephrops - 81.4%</t>
  </si>
  <si>
    <t>Nephrops - 85.3%</t>
  </si>
  <si>
    <t>Haddock - 4.3%</t>
  </si>
  <si>
    <t>Anglerfish - 3.8%</t>
  </si>
  <si>
    <t>Whiting - 3.5%</t>
  </si>
  <si>
    <t>Squid - 2.4%</t>
  </si>
  <si>
    <t>Anglerfish - 3.4%</t>
  </si>
  <si>
    <t>Squid - 1.9%</t>
  </si>
  <si>
    <t>Cod - 1.3%</t>
  </si>
  <si>
    <t>Others - 5.6%</t>
  </si>
  <si>
    <t>Others - 5.1%</t>
  </si>
  <si>
    <t>NSWOS demersal over 24m</t>
  </si>
  <si>
    <t>Haddock - 26.4%</t>
  </si>
  <si>
    <t>Haddock - 21.7%</t>
  </si>
  <si>
    <t>Saithe - 14.8%</t>
  </si>
  <si>
    <t>Anglerfish - 18.5%</t>
  </si>
  <si>
    <t>Cod - 12.2%</t>
  </si>
  <si>
    <t>Cod - 17.9%</t>
  </si>
  <si>
    <t>Anglerfish - 11.9%</t>
  </si>
  <si>
    <t>Saithe - 7.8%</t>
  </si>
  <si>
    <t>Whiting - 7.7%</t>
  </si>
  <si>
    <t>Whiting - 5.3%</t>
  </si>
  <si>
    <t>Others - 27.1%</t>
  </si>
  <si>
    <t>Others - 28.8%</t>
  </si>
  <si>
    <t>NSWOS demersal pair trawl seine</t>
  </si>
  <si>
    <t>Haddock - 37.8%</t>
  </si>
  <si>
    <t>Haddock - 32.5%</t>
  </si>
  <si>
    <t>Saithe - 16.7%</t>
  </si>
  <si>
    <t>Cod - 22.8%</t>
  </si>
  <si>
    <t>Whiting - 15.8%</t>
  </si>
  <si>
    <t>Whiting - 12.1%</t>
  </si>
  <si>
    <t>Cod - 12.9%</t>
  </si>
  <si>
    <t>Hake - 11.2%</t>
  </si>
  <si>
    <t>Saithe - 10.7%</t>
  </si>
  <si>
    <t>Others - 7.8%</t>
  </si>
  <si>
    <t>Others - 10.7%</t>
  </si>
  <si>
    <t>NSWOS demersal seiners</t>
  </si>
  <si>
    <t>Haddock - 25.4%</t>
  </si>
  <si>
    <t>Haddock - 20.2%</t>
  </si>
  <si>
    <t>Whiting - 19.5%</t>
  </si>
  <si>
    <t>Whiting - 16.0%</t>
  </si>
  <si>
    <t>Plaice - 10.9%</t>
  </si>
  <si>
    <t>Cod - 13.5%</t>
  </si>
  <si>
    <t>Cod - 8.0%</t>
  </si>
  <si>
    <t>Squid - 8.8%</t>
  </si>
  <si>
    <t>Red Mullet - 5.6%</t>
  </si>
  <si>
    <t>Red Mullet - 7.1%</t>
  </si>
  <si>
    <t>Others - 30.6%</t>
  </si>
  <si>
    <t>Others - 34.5%</t>
  </si>
  <si>
    <t>NSWOS demersal under 24m over 300kW</t>
  </si>
  <si>
    <t>Anglerfish - 21.2%</t>
  </si>
  <si>
    <t>Anglerfish - 28.5%</t>
  </si>
  <si>
    <t>Haddock - 17.0%</t>
  </si>
  <si>
    <t>Cod - 14.1%</t>
  </si>
  <si>
    <t>Whiting - 11.2%</t>
  </si>
  <si>
    <t>Megrim - 13.3%</t>
  </si>
  <si>
    <t>Cod - 10.2%</t>
  </si>
  <si>
    <t>Nephrops - 10.3%</t>
  </si>
  <si>
    <t>Megrim - 8.3%</t>
  </si>
  <si>
    <t>Haddock - 10.1%</t>
  </si>
  <si>
    <t>Others - 32.1%</t>
  </si>
  <si>
    <t>Others - 23.7%</t>
  </si>
  <si>
    <t>NSWOS demersal under 24m under 300kW</t>
  </si>
  <si>
    <t>Haddock - 21.4%</t>
  </si>
  <si>
    <t>Anglerfish - 22.1%</t>
  </si>
  <si>
    <t>Anglerfish - 18.0%</t>
  </si>
  <si>
    <t>Squid - 18.2%</t>
  </si>
  <si>
    <t>Cod - 11.3%</t>
  </si>
  <si>
    <t>Cod - 14.0%</t>
  </si>
  <si>
    <t>Squid - 8.1%</t>
  </si>
  <si>
    <t>Haddock - 11.8%</t>
  </si>
  <si>
    <t>Whiting - 7.1%</t>
  </si>
  <si>
    <t>Megrim - 7.1%</t>
  </si>
  <si>
    <t>Others - 34.1%</t>
  </si>
  <si>
    <t>Others - 0.4%</t>
  </si>
  <si>
    <t>Pots and traps 10-12m</t>
  </si>
  <si>
    <t>Whelks - 44.6%</t>
  </si>
  <si>
    <t>Lobsters - 31.0%</t>
  </si>
  <si>
    <t>Brown Crab - 37.6%</t>
  </si>
  <si>
    <t>Brown Crab - 24.8%</t>
  </si>
  <si>
    <t>Lobsters - 6.5%</t>
  </si>
  <si>
    <t>Whelks - 19.4%</t>
  </si>
  <si>
    <t>Nephrops - 5.0%</t>
  </si>
  <si>
    <t>Nephrops - 17.7%</t>
  </si>
  <si>
    <t>Velvet Crab - 2.7%</t>
  </si>
  <si>
    <t>Velvet Crab - 2.6%</t>
  </si>
  <si>
    <t>Others - 3.5%</t>
  </si>
  <si>
    <t>Others - 4.5%</t>
  </si>
  <si>
    <t>Pots and traps over 12m</t>
  </si>
  <si>
    <t>Brown Crab - 61.6%</t>
  </si>
  <si>
    <t>Brown Crab - 59.3%</t>
  </si>
  <si>
    <t>Whelks - 35.3%</t>
  </si>
  <si>
    <t>Whelks - 23.4%</t>
  </si>
  <si>
    <t>Lobsters - 2.1%</t>
  </si>
  <si>
    <t>Lobsters - 14.9%</t>
  </si>
  <si>
    <t>Nephrops - 0.4%</t>
  </si>
  <si>
    <t>Nephrops - 1.7%</t>
  </si>
  <si>
    <t>Brown Shrimps - 0.2%</t>
  </si>
  <si>
    <t>Brown Shrimps - 0.4%</t>
  </si>
  <si>
    <t>South West beamers over 250kW</t>
  </si>
  <si>
    <t>Cuttlefish - 26.9%</t>
  </si>
  <si>
    <t>Sole - 31.8%</t>
  </si>
  <si>
    <t>Cuttlefish - 17.9%</t>
  </si>
  <si>
    <t>Sole - 9.1%</t>
  </si>
  <si>
    <t>Anglerfish - 15.9%</t>
  </si>
  <si>
    <t>Plaice - 7.7%</t>
  </si>
  <si>
    <t>Turbot - 6.6%</t>
  </si>
  <si>
    <t>Gurnard - 5.4%</t>
  </si>
  <si>
    <t>Plaice - 5.5%</t>
  </si>
  <si>
    <t>Others - 32.8%</t>
  </si>
  <si>
    <t>Others - 22.4%</t>
  </si>
  <si>
    <t>Gurnard</t>
  </si>
  <si>
    <t>South West beamers under 250kW</t>
  </si>
  <si>
    <t>Cuttlefish - 21.0%</t>
  </si>
  <si>
    <t>Sole - 39.2%</t>
  </si>
  <si>
    <t>Anglerfish - 14.4%</t>
  </si>
  <si>
    <t>Cuttlefish - 13.9%</t>
  </si>
  <si>
    <t>Sole - 12.0%</t>
  </si>
  <si>
    <t>Anglerfish - 12.5%</t>
  </si>
  <si>
    <t>Scallops - 10.3%</t>
  </si>
  <si>
    <t>Plaice - 6.7%</t>
  </si>
  <si>
    <t>Plaice - 10.0%</t>
  </si>
  <si>
    <t>Scallops - 5.7%</t>
  </si>
  <si>
    <t>Others - 32.3%</t>
  </si>
  <si>
    <t>Others - 22.0%</t>
  </si>
  <si>
    <t>UK scallop dredge over 15m</t>
  </si>
  <si>
    <t>Scallops - 85.1%</t>
  </si>
  <si>
    <t>Scallops - 93.3%</t>
  </si>
  <si>
    <t>Queen Scallops - 13.7%</t>
  </si>
  <si>
    <t>Queen Scallops - 4.5%</t>
  </si>
  <si>
    <t>Anglerfish - 0.3%</t>
  </si>
  <si>
    <t>Turbot - 0.6%</t>
  </si>
  <si>
    <t>Cuttlefish - 0.1%</t>
  </si>
  <si>
    <t>Sole - 0.5%</t>
  </si>
  <si>
    <t>Turbot - 0.1%</t>
  </si>
  <si>
    <t>Anglerfish - 0.5%</t>
  </si>
  <si>
    <t>Others - 0.6%</t>
  </si>
  <si>
    <t>Others - 0.7%</t>
  </si>
  <si>
    <t>UK scallop dredge under 15m</t>
  </si>
  <si>
    <t>Cockles - 51.4%</t>
  </si>
  <si>
    <t>Scallops - 52.2%</t>
  </si>
  <si>
    <t>Scallops - 37.1%</t>
  </si>
  <si>
    <t>Cockles - 32.8%</t>
  </si>
  <si>
    <t>Queen Scallops - 3.7%</t>
  </si>
  <si>
    <t>Manilla Clam - 3.6%</t>
  </si>
  <si>
    <t>Sprats - 2.1%</t>
  </si>
  <si>
    <t>Queen Scallops - 1.9%</t>
  </si>
  <si>
    <t>Manilla Clam - 1.5%</t>
  </si>
  <si>
    <t>Sole - 1.8%</t>
  </si>
  <si>
    <t>Others - 4.2%</t>
  </si>
  <si>
    <t>Others - 7.7%</t>
  </si>
  <si>
    <t>Manilla Clam</t>
  </si>
  <si>
    <t>Mixed Clams</t>
  </si>
  <si>
    <t>Under 10m demersal trawl/seine</t>
  </si>
  <si>
    <t>Nephrops - 35.9%</t>
  </si>
  <si>
    <t>Nephrops - 39.0%</t>
  </si>
  <si>
    <t>Scallops - 6.4%</t>
  </si>
  <si>
    <t>Plaice - 5.6%</t>
  </si>
  <si>
    <t>Squid - 6.7%</t>
  </si>
  <si>
    <t>Squid - 5.3%</t>
  </si>
  <si>
    <t>Scallops - 6.2%</t>
  </si>
  <si>
    <t>Les. Spot. Dog - 4.4%</t>
  </si>
  <si>
    <t>Plaice - 4.0%</t>
  </si>
  <si>
    <t>Others - 42.5%</t>
  </si>
  <si>
    <t>Others - 29.6%</t>
  </si>
  <si>
    <t>Under 10m drift and/or fixed nets</t>
  </si>
  <si>
    <t>Cockles - 19.2%</t>
  </si>
  <si>
    <t>Sole - 24.2%</t>
  </si>
  <si>
    <t>Whelks - 15.8%</t>
  </si>
  <si>
    <t>Bass - 12.8%</t>
  </si>
  <si>
    <t>Pilchards - 12.9%</t>
  </si>
  <si>
    <t>Pollack - 9.5%</t>
  </si>
  <si>
    <t>Pollack - 7.6%</t>
  </si>
  <si>
    <t>Whelks - 8.4%</t>
  </si>
  <si>
    <t>Brown Crab - 5.8%</t>
  </si>
  <si>
    <t>Cockles - 5.8%</t>
  </si>
  <si>
    <t>Others - 38.7%</t>
  </si>
  <si>
    <t>Others - 39.4%</t>
  </si>
  <si>
    <t>Under 10m pots and traps</t>
  </si>
  <si>
    <t>Whelks - 42.9%</t>
  </si>
  <si>
    <t>Lobsters - 33.3%</t>
  </si>
  <si>
    <t>Brown Crab - 30.0%</t>
  </si>
  <si>
    <t>Brown Crab - 17.5%</t>
  </si>
  <si>
    <t>Lobsters - 7.7%</t>
  </si>
  <si>
    <t>Whelks - 17.0%</t>
  </si>
  <si>
    <t>Velvet Crab - 6.9%</t>
  </si>
  <si>
    <t>Nephrops - 12.5%</t>
  </si>
  <si>
    <t>Nephrops - 4.0%</t>
  </si>
  <si>
    <t>Others - 8.5%</t>
  </si>
  <si>
    <t>Others - 13.6%</t>
  </si>
  <si>
    <t>Under 10m using hooks</t>
  </si>
  <si>
    <t>Mackerel - 43.2%</t>
  </si>
  <si>
    <t>Razor Clam - 29.8%</t>
  </si>
  <si>
    <t>Scallops - 16.8%</t>
  </si>
  <si>
    <t>Bass - 26.6%</t>
  </si>
  <si>
    <t>Razor Clam - 13.4%</t>
  </si>
  <si>
    <t>Mackerel - 15.7%</t>
  </si>
  <si>
    <t>Bass - 10.0%</t>
  </si>
  <si>
    <t>Scallops - 14.4%</t>
  </si>
  <si>
    <t>Cod - 4.4%</t>
  </si>
  <si>
    <t>Others - 12.1%</t>
  </si>
  <si>
    <t>Others - 10.3%</t>
  </si>
  <si>
    <t>WOS nephrops over 250kW</t>
  </si>
  <si>
    <t>Nephrops - 82.2%</t>
  </si>
  <si>
    <t>Sprats - 12.3%</t>
  </si>
  <si>
    <t>Squid - 2.0%</t>
  </si>
  <si>
    <t>Anglerfish - 1.5%</t>
  </si>
  <si>
    <t>Sprats - 1.9%</t>
  </si>
  <si>
    <t>Anglerfish - 1.7%</t>
  </si>
  <si>
    <t>Squid - 0.9%</t>
  </si>
  <si>
    <t>Haddock - 0.7%</t>
  </si>
  <si>
    <t>Others - 1.9%</t>
  </si>
  <si>
    <t>Others - 1.4%</t>
  </si>
  <si>
    <t>WOS nephrops under 250kW</t>
  </si>
  <si>
    <t>Nephrops - 94.4%</t>
  </si>
  <si>
    <t>Nephrops - 93.2%</t>
  </si>
  <si>
    <t>Scallops - 2.5%</t>
  </si>
  <si>
    <t>Squid - 2.8%</t>
  </si>
  <si>
    <t>Squid - 1.2%</t>
  </si>
  <si>
    <t>Scallops - 2.6%</t>
  </si>
  <si>
    <t>Brown Crab - 0.4%</t>
  </si>
  <si>
    <t>Anglerfish - 0.4%</t>
  </si>
  <si>
    <t>Others - 1.0%</t>
  </si>
  <si>
    <t>Common Prawns</t>
  </si>
  <si>
    <t>Net profit margin</t>
  </si>
  <si>
    <t>Segment</t>
  </si>
  <si>
    <t>Operating profit margin</t>
  </si>
  <si>
    <t>2021*</t>
  </si>
  <si>
    <t>* 2021: projection</t>
  </si>
  <si>
    <t>Sample Rates</t>
  </si>
  <si>
    <t>Sample rate for vessel characteristics and fishing income is 100%, taken from official data.
Sample rates on this page are for non-fishing income and costs, taken from financial accounts.</t>
  </si>
  <si>
    <t>Sample rates</t>
  </si>
  <si>
    <t xml:space="preserve">Qualifying criteria for Seafish fleet segments </t>
  </si>
  <si>
    <t>Seafish Segments</t>
  </si>
  <si>
    <t>Main Area</t>
  </si>
  <si>
    <t>Main DAS Gear</t>
  </si>
  <si>
    <t>Main Species by value</t>
  </si>
  <si>
    <t>Main Gear Type</t>
  </si>
  <si>
    <t>Power Main Engine</t>
  </si>
  <si>
    <t>Vessel Length</t>
  </si>
  <si>
    <t>Value of landings</t>
  </si>
  <si>
    <t>Area VIIA demersal trawl over 10m</t>
  </si>
  <si>
    <t>VIIA</t>
  </si>
  <si>
    <t>Demersal trawls and seines</t>
  </si>
  <si>
    <t>&gt;= 10m</t>
  </si>
  <si>
    <t xml:space="preserve">Nephrops </t>
  </si>
  <si>
    <t>&gt;= 250 kW</t>
  </si>
  <si>
    <t>&lt;250 kW</t>
  </si>
  <si>
    <t>Area VIIb-k trawlers 10-24m</t>
  </si>
  <si>
    <t>VIIDE, VIIFG, VII other</t>
  </si>
  <si>
    <t>Not Nephrops</t>
  </si>
  <si>
    <t>&gt;= 10m &amp; &lt;24m</t>
  </si>
  <si>
    <t>Area VIIb-k trawlers 24-40m</t>
  </si>
  <si>
    <t>&gt;= 24m &amp; &lt;40m</t>
  </si>
  <si>
    <t xml:space="preserve">UK Gill netters over 10m </t>
  </si>
  <si>
    <t>Drift Nets and Fixed Nets</t>
  </si>
  <si>
    <t>UK Longliners over 10m</t>
  </si>
  <si>
    <t>Gears using hooks</t>
  </si>
  <si>
    <t>Low activity vessels over 10m</t>
  </si>
  <si>
    <t>&lt; £10,000</t>
  </si>
  <si>
    <t>Low activity vessels under 10m</t>
  </si>
  <si>
    <t>&lt; 10m</t>
  </si>
  <si>
    <t>Miscellaneous vessels over 10m</t>
  </si>
  <si>
    <t>NS</t>
  </si>
  <si>
    <t>Beam Trawl</t>
  </si>
  <si>
    <t>&gt;= 300 kW</t>
  </si>
  <si>
    <t>&lt; 300 kW</t>
  </si>
  <si>
    <t>North Sea nephrops trawl over 300kW</t>
  </si>
  <si>
    <t>North Sea nephrops trawl under 300kW</t>
  </si>
  <si>
    <t>North Sea and West of Scotland demersal trawl over 24m</t>
  </si>
  <si>
    <t>NS, WoS</t>
  </si>
  <si>
    <t>&gt;= 24m</t>
  </si>
  <si>
    <t>North Sea and West of Scotland demersal pair trawls and seines</t>
  </si>
  <si>
    <t>Paired Trawl</t>
  </si>
  <si>
    <t>North Sea and West of Scotland demersal seiners</t>
  </si>
  <si>
    <t>Scottish Seiner</t>
  </si>
  <si>
    <t>North Sea and West of Scotland demersal trawl under 24m, over 300kW</t>
  </si>
  <si>
    <t>North Sea and West of Scotland demersal trawl under 24m, under 300kW</t>
  </si>
  <si>
    <t>UK pots and traps 10m-12m</t>
  </si>
  <si>
    <t>Pots and Traps</t>
  </si>
  <si>
    <t>&gt;= 10m &amp; &lt;12m</t>
  </si>
  <si>
    <t>UK Pots and traps over 12m</t>
  </si>
  <si>
    <t>&gt;= 12m</t>
  </si>
  <si>
    <t xml:space="preserve">South West beam trawl under 250kW </t>
  </si>
  <si>
    <t>&lt; 250 kW</t>
  </si>
  <si>
    <t>South West beam trawl over 250kW</t>
  </si>
  <si>
    <t>UK demersal trawls and seines under 10m</t>
  </si>
  <si>
    <t>UK drift and fixed nets under 10m</t>
  </si>
  <si>
    <t>UK pots and traps under 10m</t>
  </si>
  <si>
    <t>UK hooks under 10m</t>
  </si>
  <si>
    <t>West of Scotland nephrops trawl over 250kW</t>
  </si>
  <si>
    <t>WoS</t>
  </si>
  <si>
    <t>West of Scotland nephrops trawl under 250kW</t>
  </si>
  <si>
    <t>Dredges</t>
  </si>
  <si>
    <t>Scallops, queen scallops, cockles</t>
  </si>
  <si>
    <t>&gt;= 15m</t>
  </si>
  <si>
    <t>&lt;= 15m</t>
  </si>
  <si>
    <t>Segmentation Criteria</t>
  </si>
  <si>
    <t>Seafish 2011 to 2021 fleet economic data set Highlights</t>
  </si>
  <si>
    <t xml:space="preserve">Nb. 2021 estimates are based on provisional official data for 2021, 2021 fuel prices and 2020 cost structure derived from 2020 vessel accounts submitted to Seafish.  </t>
  </si>
  <si>
    <t>NOTE: All figures remarked upon above are nominal and not adjusted for inflation.</t>
  </si>
  <si>
    <t>Highlights</t>
  </si>
  <si>
    <t>Seafish fleet economic performance dataset 2011 - 2021</t>
  </si>
  <si>
    <t>This dataset contains financial, economic and operational performance indicators for approximately 30 UK fleet segments for the period 2011-2021.  2021 estimates are based on provisional official activity and landings statistics so should be considered as provisional estimates.  Once vessel accounts for 2021 have been collected and official data finalised, Seafish will publish new estimates for the year.</t>
  </si>
  <si>
    <t>How to use the dataset</t>
  </si>
  <si>
    <t xml:space="preserve">For each of the 30 UK fleet segments we have produced one table and nine graphs. </t>
  </si>
  <si>
    <t>Each table has four main sections (Segment totals, Vessel characteristics (average per vessel), productivity indicators and income, costs and profits (average per vessel)).</t>
  </si>
  <si>
    <t xml:space="preserve">Financial values are available as nominal and adjusted to 2021 values. The orange button on the top line allows you to switch between the two. Graphs and trend lines will adjust automatically. </t>
  </si>
  <si>
    <t xml:space="preserve">Adjusted values are calculated using Gross Domestic Product deflators consistent with DEFRA publications. Further details on this method can be found on the HM Treasury website (https://www.gov.uk/government/collections/gdp-deflators-at-market-prices-and-money-gdp). </t>
  </si>
  <si>
    <t>For most segments we have produced a table that details the characteristics of the most and least profitable quartile (by operating profit margin) as well as the two quartiles inbetween.</t>
  </si>
  <si>
    <t>These tables are accompanied by three graphs.</t>
  </si>
  <si>
    <t xml:space="preserve">If a quartile is made-up of less than five vessels we are unable to publish said data due to confidentiality rules. </t>
  </si>
  <si>
    <t>Methodology</t>
  </si>
  <si>
    <t>Seafish produces the dataset by combining costs and earnings information from vessel accounts provide by vessel owners to the annual Seafish UK Fleet Survey with official effort, landings and capacity data for all active UK fishing vessels provided by the UK Marine Management Organisation (MMO).</t>
  </si>
  <si>
    <t>The outputs for all years are produced using a consistent methodology and fleet segmentation criteria so that trends in key indicators can be observed over time.  Note that vessels can be in different segments in different years if they change their gear, area or target species.</t>
  </si>
  <si>
    <t>First developed in 2008, the methodology was used to produce single year estimates that were reported in the 2008, 2009 and 2010 Seafish economic survey reports of the UK fishing fleet.</t>
  </si>
  <si>
    <t>The methodology was again revised in February 2013. The revision involved changing the way that the sample cost structure for each fleet segment was calculated, resulting in a more robust approach when dealing with outlying (far from average) cost data.</t>
  </si>
  <si>
    <t xml:space="preserve">This is a summary of the method we used to estimate the earnings, cost structure and profits of the UK fleet and fleet segments:                                                                                                           </t>
  </si>
  <si>
    <t xml:space="preserve">1. The UK fleet is stratified into approximately 30 relatively homogeneous fleet segments using MMO data on capacity, effort and landings for each vessel (see segmentation criteria worksheet). </t>
  </si>
  <si>
    <t xml:space="preserve">2. Seafish uses a self-selecting stratified sampling approach to obtain an adequate sample size of vessel financial accounts for each fleet segment. </t>
  </si>
  <si>
    <t>3. Costs and earnings data from vessel accounts are allocated to particular fleet segments following the segmentation procedure, giving approximately 30 costs and earnings segment samples. Sample sizes for vessel accounts in each fleet segment and each year can be found at the end of this workbook.</t>
  </si>
  <si>
    <t xml:space="preserve">4. To estimate the cost structure of all vessels in each fleet segment, we:                                                                                                                                                                                                                                                                                                                                  </t>
  </si>
  <si>
    <t xml:space="preserve">a) add together the individual cost and earnings items from vessel accounts within each segment sample to create a 'combined segment sample cost structure'. </t>
  </si>
  <si>
    <t xml:space="preserve">b) calculate the sum of each cost item in the 'combined segment sample cost structure' as a proportion of the sum of fishing income e.g. sum of gear cost is 10% of sum of fishing income, sum of commission is 3% of sum of fishing income etc.       </t>
  </si>
  <si>
    <t xml:space="preserve">c) calculate fuel costs and crew costs differently from the other costs. For crew share, we give a minimum £100 per day in instances where the actual observed amount within the 'combined segment sample cost structure' is lower. For fuel costs, the capacity (VCUs) and monthly fishing effort (days at sea) of each vessel are used to estimate monthly fuel consumption in litres, which is then combined with the average monthly red diesel price (excluding duty) to calculate the fuel cost estimates for each vessel. </t>
  </si>
  <si>
    <t>d) Following calculation of fuel cost and crew share, we apply the proportions from all the other costs within the 'combined segment sample cost structure' to the official declared fishing income for each vessel within each fleet segment, which enables use to calculate Gross Value Added, operating profit and net profit for each vessel.</t>
  </si>
  <si>
    <t>5. UK fleet totals and fleet segment totals and averages are then calculated from the estimates produced for each vessel.</t>
  </si>
  <si>
    <t>Where we have low sample size for a particular segment in a particular year we take into account previous years' estimates along with the reference year fuel price data to estimate costs.</t>
  </si>
  <si>
    <t>FTE Methodology</t>
  </si>
  <si>
    <t>Estimation of employment is based on the survey data collected from vessel owners during summer 2021 combined with MMO employment data. This provides details on the number of engaged crew both full-time and part-time. This sample information is then used to estimate total engaged crew based on the physical characteristics of the individual vessel and the vessels level of activity. Once total engaged crew has been estimated for all types of vessel in the UK fleet, FTE jobs are estimated based on the national and harmonised definitions.</t>
  </si>
  <si>
    <t>Data for the years 2011-2020 are estimates based on same year costs and earnings samples collected by Seafish. Data for 2021 are estimates using provisional official statistics on landings, capacity and effort, along with 2021 fuel price and previous years' cost structures. Therefore, 2021 estimates should be considered preliminary estimates. Seafish will revise these estimates when sufficient 2021 costs and earnings sample data are available later in the year.</t>
  </si>
  <si>
    <t xml:space="preserve">All the costs and profits data contained within these worksheets are Seafish estimates based on the latest available data. Additional vessel accounts data for latter years may become available and be incorporated into future analyses. </t>
  </si>
  <si>
    <t>Notes</t>
  </si>
  <si>
    <t>UK Fleet Highlights</t>
  </si>
  <si>
    <t>After the shock caused by Covid-19 and lockdown measures in 2020, the UK fishing fleet experienced a partial recovery in 2021 in terms of fishing income, operating profit and GVA. The size of the active fleet continued to decrease, at an average of 2% per year since 2017.</t>
  </si>
  <si>
    <t>The Fleet</t>
  </si>
  <si>
    <t xml:space="preserve">- The number of active fishing vessels decreased from 4,343 in 2020 to 4,269 in 2021. </t>
  </si>
  <si>
    <t xml:space="preserve">- Of these vessels around 1,400 were deemed as low activity vessels, with fishing income of less than £10,000 in the calendar year 2021. </t>
  </si>
  <si>
    <t>- Weight of landings increased very slightly in 2021, from 625 thousand tonnes in 2020 to 631 thousand tonnes in 2021. In the period 2013-2018 landed weight was typically around or over the 700 thousand tonne mark, and then decreased to 620 thousand tonnes in 2019.</t>
  </si>
  <si>
    <t>Fuel Cost</t>
  </si>
  <si>
    <t>Profit and GVA</t>
  </si>
  <si>
    <t xml:space="preserve">- Total fleet operating profit was an estimated £240 million in 2021, an increase on the £228 million profit in 2020. For comparison purposes, operating profit in 2016-2019 was on average £262 million a year. </t>
  </si>
  <si>
    <t xml:space="preserve">- Total fleet GVA was an estimated £483 million in 2021, compared to £458 million in 2020 and an average of £525 million in the period 2016-2019. </t>
  </si>
  <si>
    <t xml:space="preserve">- Around 1,650 vessels were inactive in 2020. The number of these vessels decreased to 1,361 in 2021, which is the lowest number of inactive vessels in the register since 2008. Combined with the decrease in numbers of active vessels, this is likely reflecting that some vessel owners did not resume fishing after the pause in activity caused by Covid-19 and lockdown measures. </t>
  </si>
  <si>
    <t>- The UK fleet as a whole saw a slight increase in fishing revenues from £818 million in 2020 to around £893 million in 2021, indicating a partial recovery from the impacts of Covid-19. Fishing revenues increased in almost all Seafish defined segments in 2021. Fishing revenues in 2017-2019 were on average £940 million a year.</t>
  </si>
  <si>
    <t xml:space="preserve">- Total spend on marine fuel in 2021 was an estimated £114 million, a 28% increase from 2020 as fishing effort increased post-Covid combined with higher fuel prices in 2021.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</si>
</sst>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0"/>
    <numFmt numFmtId="167" formatCode="0.0"/>
  </numFmts>
  <fonts count="37" x14ac:knownFonts="1">
    <font>
      <sz val="11"/>
      <color theme="1"/>
      <name val="Arial"/>
      <family val="2"/>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Arial"/>
      <family val="2"/>
    </font>
    <font>
      <b/>
      <u/>
      <sz val="14"/>
      <color theme="1"/>
      <name val="Arial"/>
      <family val="2"/>
    </font>
    <font>
      <sz val="10"/>
      <color theme="1"/>
      <name val="Arial"/>
      <family val="2"/>
    </font>
    <font>
      <sz val="10"/>
      <color theme="1"/>
      <name val="Calibri"/>
      <family val="2"/>
      <scheme val="minor"/>
    </font>
    <font>
      <b/>
      <sz val="10"/>
      <color theme="1"/>
      <name val="Calibri"/>
      <family val="2"/>
      <scheme val="minor"/>
    </font>
    <font>
      <b/>
      <sz val="14"/>
      <color theme="1"/>
      <name val="Calibri"/>
      <family val="2"/>
      <scheme val="minor"/>
    </font>
    <font>
      <sz val="12"/>
      <color theme="1"/>
      <name val="Wingdings"/>
      <charset val="2"/>
    </font>
    <font>
      <u/>
      <sz val="11"/>
      <color theme="10"/>
      <name val="Arial"/>
      <family val="2"/>
    </font>
    <font>
      <u/>
      <sz val="10"/>
      <name val="Calibri"/>
      <family val="2"/>
    </font>
    <font>
      <u/>
      <sz val="10"/>
      <color indexed="8"/>
      <name val="Calibri"/>
      <family val="2"/>
    </font>
    <font>
      <sz val="10"/>
      <color theme="1"/>
      <name val="Calibri"/>
      <family val="2"/>
    </font>
    <font>
      <sz val="10"/>
      <name val="Calibri"/>
      <family val="2"/>
      <scheme val="minor"/>
    </font>
    <font>
      <sz val="9"/>
      <color theme="1"/>
      <name val="Calibri"/>
      <family val="2"/>
      <scheme val="minor"/>
    </font>
    <font>
      <b/>
      <sz val="9"/>
      <color theme="1"/>
      <name val="Calibri"/>
      <family val="2"/>
      <scheme val="minor"/>
    </font>
    <font>
      <b/>
      <sz val="10"/>
      <color theme="3"/>
      <name val="Calibri"/>
      <family val="2"/>
      <scheme val="minor"/>
    </font>
    <font>
      <b/>
      <u/>
      <sz val="12"/>
      <color theme="1"/>
      <name val="Calibri"/>
      <family val="2"/>
      <scheme val="minor"/>
    </font>
    <font>
      <b/>
      <sz val="11"/>
      <name val="Calibri"/>
      <family val="2"/>
      <scheme val="minor"/>
    </font>
    <font>
      <sz val="11"/>
      <name val="Calibri"/>
      <family val="2"/>
      <scheme val="minor"/>
    </font>
    <font>
      <b/>
      <u/>
      <sz val="12"/>
      <name val="Calibri"/>
      <family val="2"/>
      <scheme val="minor"/>
    </font>
    <font>
      <sz val="9"/>
      <name val="Calibri"/>
      <family val="2"/>
      <scheme val="minor"/>
    </font>
    <font>
      <sz val="8"/>
      <color theme="1"/>
      <name val="Calibri"/>
      <family val="2"/>
      <scheme val="minor"/>
    </font>
    <font>
      <u/>
      <sz val="11"/>
      <name val="Calibri"/>
      <family val="2"/>
    </font>
    <font>
      <i/>
      <sz val="10"/>
      <color theme="1"/>
      <name val="Calibri"/>
      <family val="2"/>
      <scheme val="minor"/>
    </font>
    <font>
      <sz val="10"/>
      <name val="Arial"/>
      <family val="2"/>
    </font>
    <font>
      <b/>
      <sz val="10"/>
      <name val="Calibri"/>
      <family val="2"/>
      <scheme val="minor"/>
    </font>
    <font>
      <b/>
      <u/>
      <sz val="11"/>
      <color theme="1"/>
      <name val="Calibri"/>
      <family val="2"/>
      <scheme val="minor"/>
    </font>
    <font>
      <u/>
      <sz val="11"/>
      <color theme="1"/>
      <name val="Calibri"/>
      <family val="2"/>
      <scheme val="minor"/>
    </font>
    <font>
      <sz val="11"/>
      <name val="Calibri"/>
      <family val="2"/>
    </font>
    <font>
      <u/>
      <sz val="12"/>
      <color rgb="FF000000"/>
      <name val="Calibri"/>
      <family val="2"/>
    </font>
    <font>
      <sz val="12"/>
      <color rgb="FF000000"/>
      <name val="Calibri"/>
      <family val="2"/>
    </font>
    <font>
      <i/>
      <sz val="11"/>
      <color theme="1"/>
      <name val="Calibri"/>
      <family val="2"/>
      <scheme val="minor"/>
    </font>
  </fonts>
  <fills count="11">
    <fill>
      <patternFill patternType="none"/>
    </fill>
    <fill>
      <patternFill patternType="gray125"/>
    </fill>
    <fill>
      <patternFill patternType="solid">
        <fgColor theme="0"/>
        <bgColor indexed="64"/>
      </patternFill>
    </fill>
    <fill>
      <patternFill patternType="solid">
        <fgColor rgb="FFF1A058"/>
        <bgColor indexed="64"/>
      </patternFill>
    </fill>
    <fill>
      <patternFill patternType="solid">
        <fgColor rgb="FF7599D0"/>
        <bgColor indexed="64"/>
      </patternFill>
    </fill>
    <fill>
      <patternFill patternType="solid">
        <fgColor rgb="FFD5DE71"/>
        <bgColor indexed="64"/>
      </patternFill>
    </fill>
    <fill>
      <patternFill patternType="solid">
        <fgColor rgb="FF7CB6C2"/>
        <bgColor indexed="64"/>
      </patternFill>
    </fill>
    <fill>
      <patternFill patternType="solid">
        <fgColor theme="7" tint="0.59999389629810485"/>
        <bgColor indexed="64"/>
      </patternFill>
    </fill>
    <fill>
      <patternFill patternType="solid">
        <fgColor rgb="FFF0886D"/>
        <bgColor indexed="64"/>
      </patternFill>
    </fill>
    <fill>
      <patternFill patternType="solid">
        <fgColor rgb="FFFFFFFF"/>
        <bgColor indexed="64"/>
      </patternFill>
    </fill>
    <fill>
      <patternFill patternType="solid">
        <fgColor rgb="FFFFC000"/>
        <bgColor indexed="64"/>
      </patternFill>
    </fill>
  </fills>
  <borders count="24">
    <border>
      <left/>
      <right/>
      <top/>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style="medium">
        <color auto="1"/>
      </top>
      <bottom style="medium">
        <color auto="1"/>
      </bottom>
      <diagonal/>
    </border>
    <border>
      <left/>
      <right/>
      <top style="medium">
        <color auto="1"/>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4">
    <xf numFmtId="0" fontId="0" fillId="0" borderId="0"/>
    <xf numFmtId="0" fontId="13" fillId="0" borderId="0" applyNumberFormat="0" applyFill="0" applyBorder="0" applyAlignment="0" applyProtection="0"/>
    <xf numFmtId="9" fontId="6" fillId="0" borderId="0" applyFont="0" applyFill="0" applyBorder="0" applyAlignment="0" applyProtection="0"/>
    <xf numFmtId="0" fontId="29" fillId="0" borderId="0"/>
  </cellStyleXfs>
  <cellXfs count="213">
    <xf numFmtId="0" fontId="0" fillId="0" borderId="0" xfId="0"/>
    <xf numFmtId="0" fontId="7" fillId="2" borderId="0" xfId="0" applyFont="1" applyFill="1"/>
    <xf numFmtId="0" fontId="8" fillId="2" borderId="0" xfId="0" applyFont="1" applyFill="1"/>
    <xf numFmtId="0" fontId="9" fillId="2" borderId="0" xfId="0" applyFont="1" applyFill="1"/>
    <xf numFmtId="0" fontId="10" fillId="2" borderId="0" xfId="0" applyFont="1" applyFill="1"/>
    <xf numFmtId="0" fontId="11" fillId="2" borderId="0" xfId="0" applyFont="1" applyFill="1" applyAlignment="1">
      <alignment horizontal="left" vertical="center"/>
    </xf>
    <xf numFmtId="0" fontId="10" fillId="2" borderId="0" xfId="0" applyFont="1" applyFill="1" applyAlignment="1">
      <alignment horizontal="center" vertical="center"/>
    </xf>
    <xf numFmtId="0" fontId="8" fillId="2" borderId="0" xfId="0" applyFont="1" applyFill="1" applyAlignment="1">
      <alignment horizontal="center"/>
    </xf>
    <xf numFmtId="0" fontId="10" fillId="2" borderId="0" xfId="0" applyFont="1" applyFill="1" applyAlignment="1">
      <alignment horizontal="left" vertical="top"/>
    </xf>
    <xf numFmtId="0" fontId="9" fillId="2" borderId="0" xfId="0" applyFont="1" applyFill="1" applyAlignment="1">
      <alignment horizontal="center" vertical="center" wrapText="1"/>
    </xf>
    <xf numFmtId="0" fontId="9" fillId="2" borderId="1" xfId="0" applyFont="1" applyFill="1" applyBorder="1" applyAlignment="1">
      <alignment horizontal="left" wrapText="1"/>
    </xf>
    <xf numFmtId="0" fontId="9" fillId="2" borderId="1" xfId="0" applyFont="1" applyFill="1" applyBorder="1" applyAlignment="1">
      <alignment horizontal="center" wrapText="1"/>
    </xf>
    <xf numFmtId="0" fontId="9" fillId="2" borderId="0" xfId="0" applyFont="1" applyFill="1" applyAlignment="1">
      <alignment horizontal="left"/>
    </xf>
    <xf numFmtId="0" fontId="9" fillId="2" borderId="0" xfId="0" applyFont="1" applyFill="1" applyAlignment="1">
      <alignment horizontal="center"/>
    </xf>
    <xf numFmtId="3" fontId="9" fillId="2" borderId="0" xfId="0" applyNumberFormat="1" applyFont="1" applyFill="1" applyAlignment="1">
      <alignment horizontal="center"/>
    </xf>
    <xf numFmtId="164" fontId="9" fillId="2" borderId="0" xfId="0" applyNumberFormat="1" applyFont="1" applyFill="1" applyAlignment="1">
      <alignment horizontal="center"/>
    </xf>
    <xf numFmtId="0" fontId="12" fillId="2" borderId="0" xfId="0" applyFont="1" applyFill="1" applyAlignment="1">
      <alignment horizontal="center"/>
    </xf>
    <xf numFmtId="9" fontId="9" fillId="2" borderId="0" xfId="0" applyNumberFormat="1" applyFont="1" applyFill="1" applyAlignment="1">
      <alignment horizontal="center"/>
    </xf>
    <xf numFmtId="0" fontId="8" fillId="2" borderId="0" xfId="0" applyFont="1" applyFill="1" applyAlignment="1">
      <alignment horizontal="left"/>
    </xf>
    <xf numFmtId="0" fontId="15" fillId="2" borderId="0" xfId="1" applyFont="1" applyFill="1" applyAlignment="1">
      <alignment horizontal="left"/>
    </xf>
    <xf numFmtId="0" fontId="11" fillId="2" borderId="0" xfId="0" applyFont="1" applyFill="1" applyAlignment="1">
      <alignment vertical="center"/>
    </xf>
    <xf numFmtId="0" fontId="2" fillId="2" borderId="0" xfId="0" applyFont="1" applyFill="1" applyAlignment="1">
      <alignment vertical="center"/>
    </xf>
    <xf numFmtId="0" fontId="2" fillId="2" borderId="5" xfId="0" applyFont="1" applyFill="1" applyBorder="1" applyAlignment="1">
      <alignment vertical="center" wrapText="1"/>
    </xf>
    <xf numFmtId="0" fontId="10" fillId="2" borderId="5" xfId="0" applyFont="1" applyFill="1" applyBorder="1" applyAlignment="1">
      <alignment vertical="center" wrapText="1"/>
    </xf>
    <xf numFmtId="0" fontId="16" fillId="2" borderId="5" xfId="0" applyFont="1" applyFill="1" applyBorder="1" applyAlignment="1">
      <alignment horizontal="center" vertical="center" wrapText="1"/>
    </xf>
    <xf numFmtId="0" fontId="9" fillId="2" borderId="5" xfId="0" applyFont="1" applyFill="1" applyBorder="1" applyAlignment="1">
      <alignment horizontal="right" vertical="center" wrapText="1"/>
    </xf>
    <xf numFmtId="0" fontId="2" fillId="2" borderId="0" xfId="0" applyFont="1" applyFill="1" applyAlignment="1">
      <alignment vertical="center" wrapText="1"/>
    </xf>
    <xf numFmtId="0" fontId="17" fillId="2" borderId="6" xfId="0" applyFont="1" applyFill="1" applyBorder="1" applyAlignment="1">
      <alignment horizontal="right" vertical="center"/>
    </xf>
    <xf numFmtId="3" fontId="9" fillId="2" borderId="6" xfId="0" applyNumberFormat="1" applyFont="1" applyFill="1" applyBorder="1" applyAlignment="1">
      <alignment vertical="center"/>
    </xf>
    <xf numFmtId="9" fontId="9" fillId="2" borderId="0" xfId="2" applyFont="1" applyFill="1" applyAlignment="1">
      <alignment horizontal="center" vertical="center"/>
    </xf>
    <xf numFmtId="0" fontId="17" fillId="2" borderId="0" xfId="0" applyFont="1" applyFill="1" applyAlignment="1">
      <alignment horizontal="right" vertical="center"/>
    </xf>
    <xf numFmtId="3" fontId="9" fillId="2" borderId="0" xfId="0" applyNumberFormat="1" applyFont="1" applyFill="1" applyAlignment="1">
      <alignment vertical="center"/>
    </xf>
    <xf numFmtId="164" fontId="2" fillId="2" borderId="0" xfId="0" applyNumberFormat="1" applyFont="1" applyFill="1" applyAlignment="1">
      <alignment vertical="center"/>
    </xf>
    <xf numFmtId="164" fontId="9" fillId="2" borderId="0" xfId="0" applyNumberFormat="1" applyFont="1" applyFill="1" applyAlignment="1">
      <alignment vertical="center"/>
    </xf>
    <xf numFmtId="9" fontId="9" fillId="2" borderId="7" xfId="2" applyFont="1" applyFill="1" applyBorder="1" applyAlignment="1">
      <alignment horizontal="center" vertical="center"/>
    </xf>
    <xf numFmtId="0" fontId="9" fillId="2" borderId="8" xfId="0" applyFont="1" applyFill="1" applyBorder="1" applyAlignment="1">
      <alignment horizontal="right" vertical="center"/>
    </xf>
    <xf numFmtId="164" fontId="9" fillId="2" borderId="8" xfId="0" applyNumberFormat="1" applyFont="1" applyFill="1" applyBorder="1" applyAlignment="1">
      <alignment vertical="center"/>
    </xf>
    <xf numFmtId="0" fontId="9" fillId="2" borderId="0" xfId="0" applyFont="1" applyFill="1" applyAlignment="1">
      <alignment horizontal="right" vertical="center"/>
    </xf>
    <xf numFmtId="4" fontId="9" fillId="2" borderId="0" xfId="0" applyNumberFormat="1" applyFont="1" applyFill="1" applyAlignment="1">
      <alignment vertical="center"/>
    </xf>
    <xf numFmtId="0" fontId="9" fillId="2" borderId="7" xfId="0" applyFont="1" applyFill="1" applyBorder="1" applyAlignment="1">
      <alignment horizontal="right" vertical="center"/>
    </xf>
    <xf numFmtId="3" fontId="9" fillId="2" borderId="7" xfId="0" applyNumberFormat="1" applyFont="1" applyFill="1" applyBorder="1" applyAlignment="1">
      <alignment vertical="center"/>
    </xf>
    <xf numFmtId="4" fontId="9" fillId="2" borderId="8" xfId="0" applyNumberFormat="1" applyFont="1" applyFill="1" applyBorder="1" applyAlignment="1">
      <alignment vertical="center"/>
    </xf>
    <xf numFmtId="0" fontId="10" fillId="2" borderId="0" xfId="0" applyFont="1" applyFill="1" applyAlignment="1">
      <alignment horizontal="right" vertical="center"/>
    </xf>
    <xf numFmtId="164" fontId="10" fillId="2" borderId="0" xfId="0" applyNumberFormat="1" applyFont="1" applyFill="1" applyAlignment="1">
      <alignment vertical="center"/>
    </xf>
    <xf numFmtId="0" fontId="10" fillId="2" borderId="1" xfId="0" applyFont="1" applyFill="1" applyBorder="1" applyAlignment="1">
      <alignment horizontal="right" vertical="center"/>
    </xf>
    <xf numFmtId="164" fontId="10" fillId="2" borderId="1" xfId="0" applyNumberFormat="1" applyFont="1" applyFill="1" applyBorder="1" applyAlignment="1">
      <alignment vertical="center"/>
    </xf>
    <xf numFmtId="9" fontId="9" fillId="2" borderId="1" xfId="2" applyFont="1" applyFill="1" applyBorder="1" applyAlignment="1">
      <alignment horizontal="center" vertical="center"/>
    </xf>
    <xf numFmtId="0" fontId="18" fillId="2" borderId="0" xfId="0" applyFont="1" applyFill="1" applyAlignment="1">
      <alignment vertical="center"/>
    </xf>
    <xf numFmtId="0" fontId="5" fillId="2" borderId="0" xfId="0" applyFont="1" applyFill="1" applyAlignment="1">
      <alignment vertical="center"/>
    </xf>
    <xf numFmtId="0" fontId="5" fillId="2" borderId="0" xfId="2" applyNumberFormat="1" applyFont="1" applyFill="1" applyAlignment="1">
      <alignment vertical="center"/>
    </xf>
    <xf numFmtId="0" fontId="22" fillId="2" borderId="0" xfId="0" applyFont="1" applyFill="1" applyAlignment="1">
      <alignment vertical="center"/>
    </xf>
    <xf numFmtId="0" fontId="22" fillId="2" borderId="0" xfId="0" applyFont="1" applyFill="1" applyAlignment="1">
      <alignment horizontal="right" vertical="center"/>
    </xf>
    <xf numFmtId="0" fontId="23" fillId="2" borderId="0" xfId="0" applyFont="1" applyFill="1" applyAlignment="1">
      <alignment vertical="center"/>
    </xf>
    <xf numFmtId="9" fontId="5" fillId="2" borderId="0" xfId="2" applyFont="1" applyFill="1" applyAlignment="1">
      <alignment vertical="center"/>
    </xf>
    <xf numFmtId="0" fontId="16" fillId="2" borderId="5" xfId="0" applyFont="1" applyFill="1" applyBorder="1" applyAlignment="1">
      <alignment horizontal="right" vertical="center" wrapText="1"/>
    </xf>
    <xf numFmtId="0" fontId="9" fillId="7" borderId="5" xfId="0" applyFont="1" applyFill="1" applyBorder="1" applyAlignment="1">
      <alignment horizontal="right" vertical="center" wrapText="1"/>
    </xf>
    <xf numFmtId="0" fontId="9" fillId="2" borderId="0" xfId="0" applyFont="1" applyFill="1" applyAlignment="1">
      <alignment vertical="center"/>
    </xf>
    <xf numFmtId="0" fontId="9" fillId="7" borderId="0" xfId="0" applyFont="1" applyFill="1" applyAlignment="1">
      <alignment vertical="center"/>
    </xf>
    <xf numFmtId="167" fontId="9" fillId="2" borderId="8" xfId="0" applyNumberFormat="1" applyFont="1" applyFill="1" applyBorder="1" applyAlignment="1">
      <alignment vertical="center"/>
    </xf>
    <xf numFmtId="167" fontId="9" fillId="7" borderId="8" xfId="0" applyNumberFormat="1" applyFont="1" applyFill="1" applyBorder="1" applyAlignment="1">
      <alignment vertical="center"/>
    </xf>
    <xf numFmtId="1" fontId="9" fillId="2" borderId="0" xfId="0" applyNumberFormat="1" applyFont="1" applyFill="1" applyAlignment="1">
      <alignment vertical="center"/>
    </xf>
    <xf numFmtId="1" fontId="9" fillId="7" borderId="0" xfId="0" applyNumberFormat="1" applyFont="1" applyFill="1" applyAlignment="1">
      <alignment vertical="center"/>
    </xf>
    <xf numFmtId="164" fontId="9" fillId="7" borderId="0" xfId="0" applyNumberFormat="1" applyFont="1" applyFill="1" applyAlignment="1">
      <alignment vertical="center"/>
    </xf>
    <xf numFmtId="2" fontId="9" fillId="2" borderId="0" xfId="0" applyNumberFormat="1" applyFont="1" applyFill="1" applyAlignment="1">
      <alignment vertical="center"/>
    </xf>
    <xf numFmtId="2" fontId="9" fillId="7" borderId="0" xfId="0" applyNumberFormat="1" applyFont="1" applyFill="1" applyAlignment="1">
      <alignment vertical="center"/>
    </xf>
    <xf numFmtId="3" fontId="9" fillId="7" borderId="7" xfId="0" applyNumberFormat="1" applyFont="1" applyFill="1" applyBorder="1" applyAlignment="1">
      <alignment vertical="center"/>
    </xf>
    <xf numFmtId="2" fontId="9" fillId="2" borderId="8" xfId="0" applyNumberFormat="1" applyFont="1" applyFill="1" applyBorder="1" applyAlignment="1">
      <alignment vertical="center"/>
    </xf>
    <xf numFmtId="2" fontId="9" fillId="7" borderId="8" xfId="0" applyNumberFormat="1" applyFont="1" applyFill="1" applyBorder="1" applyAlignment="1">
      <alignment vertical="center"/>
    </xf>
    <xf numFmtId="2" fontId="9" fillId="2" borderId="7" xfId="0" applyNumberFormat="1" applyFont="1" applyFill="1" applyBorder="1" applyAlignment="1">
      <alignment vertical="center"/>
    </xf>
    <xf numFmtId="2" fontId="9" fillId="7" borderId="7" xfId="0" applyNumberFormat="1" applyFont="1" applyFill="1" applyBorder="1" applyAlignment="1">
      <alignment vertical="center"/>
    </xf>
    <xf numFmtId="167" fontId="9" fillId="2" borderId="0" xfId="0" applyNumberFormat="1" applyFont="1" applyFill="1" applyAlignment="1">
      <alignment vertical="center"/>
    </xf>
    <xf numFmtId="167" fontId="9" fillId="7" borderId="0" xfId="0" applyNumberFormat="1" applyFont="1" applyFill="1" applyAlignment="1">
      <alignment vertical="center"/>
    </xf>
    <xf numFmtId="3" fontId="9" fillId="7" borderId="0" xfId="0" applyNumberFormat="1" applyFont="1" applyFill="1" applyAlignment="1">
      <alignment vertical="center"/>
    </xf>
    <xf numFmtId="0" fontId="26" fillId="2" borderId="0" xfId="0" applyFont="1" applyFill="1" applyAlignment="1">
      <alignment vertical="center"/>
    </xf>
    <xf numFmtId="3" fontId="26" fillId="2" borderId="0" xfId="0" applyNumberFormat="1" applyFont="1" applyFill="1" applyAlignment="1">
      <alignment vertical="center"/>
    </xf>
    <xf numFmtId="3" fontId="9" fillId="2" borderId="8" xfId="0" applyNumberFormat="1" applyFont="1" applyFill="1" applyBorder="1" applyAlignment="1">
      <alignment vertical="center"/>
    </xf>
    <xf numFmtId="3" fontId="9" fillId="7" borderId="8" xfId="0" applyNumberFormat="1" applyFont="1" applyFill="1" applyBorder="1" applyAlignment="1">
      <alignment vertical="center"/>
    </xf>
    <xf numFmtId="9" fontId="26" fillId="2" borderId="0" xfId="2" applyFont="1" applyFill="1" applyAlignment="1">
      <alignment vertical="center"/>
    </xf>
    <xf numFmtId="9" fontId="5" fillId="2" borderId="0" xfId="2" applyFont="1" applyFill="1" applyAlignment="1">
      <alignment vertical="center" wrapText="1"/>
    </xf>
    <xf numFmtId="0" fontId="5" fillId="2" borderId="0" xfId="2" applyNumberFormat="1" applyFont="1" applyFill="1" applyAlignment="1">
      <alignment vertical="center" wrapText="1"/>
    </xf>
    <xf numFmtId="0" fontId="11" fillId="9" borderId="0" xfId="0" applyFont="1" applyFill="1" applyAlignment="1">
      <alignment vertical="center"/>
    </xf>
    <xf numFmtId="0" fontId="4" fillId="9" borderId="0" xfId="0" applyFont="1" applyFill="1" applyAlignment="1">
      <alignment vertical="center"/>
    </xf>
    <xf numFmtId="0" fontId="2" fillId="9" borderId="0" xfId="0" applyFont="1" applyFill="1" applyAlignment="1">
      <alignment vertical="center"/>
    </xf>
    <xf numFmtId="0" fontId="2" fillId="9" borderId="1" xfId="0" applyFont="1" applyFill="1" applyBorder="1" applyAlignment="1">
      <alignment vertical="center"/>
    </xf>
    <xf numFmtId="0" fontId="2" fillId="9" borderId="2" xfId="0" applyFont="1" applyFill="1" applyBorder="1" applyAlignment="1">
      <alignment horizontal="right" vertical="center"/>
    </xf>
    <xf numFmtId="0" fontId="9" fillId="10" borderId="3" xfId="0" applyFont="1" applyFill="1" applyBorder="1" applyAlignment="1">
      <alignment horizontal="center" vertical="center" wrapText="1"/>
    </xf>
    <xf numFmtId="0" fontId="18" fillId="9" borderId="0" xfId="0" applyFont="1" applyFill="1" applyAlignment="1">
      <alignment vertical="center"/>
    </xf>
    <xf numFmtId="0" fontId="19" fillId="9" borderId="0" xfId="0" applyFont="1" applyFill="1" applyAlignment="1">
      <alignment horizontal="right" vertical="center"/>
    </xf>
    <xf numFmtId="164" fontId="20" fillId="9" borderId="0" xfId="0" applyNumberFormat="1" applyFont="1" applyFill="1" applyAlignment="1">
      <alignment vertical="center"/>
    </xf>
    <xf numFmtId="164" fontId="9" fillId="9" borderId="0" xfId="0" applyNumberFormat="1" applyFont="1" applyFill="1" applyAlignment="1">
      <alignment horizontal="center" vertical="center"/>
    </xf>
    <xf numFmtId="164" fontId="10" fillId="9" borderId="0" xfId="0" applyNumberFormat="1" applyFont="1" applyFill="1" applyAlignment="1">
      <alignment vertical="center"/>
    </xf>
    <xf numFmtId="9" fontId="10" fillId="9" borderId="0" xfId="2" applyFont="1" applyFill="1" applyAlignment="1">
      <alignment horizontal="center" vertical="center"/>
    </xf>
    <xf numFmtId="164" fontId="20" fillId="9" borderId="9" xfId="0" applyNumberFormat="1" applyFont="1" applyFill="1" applyBorder="1" applyAlignment="1">
      <alignment vertical="center"/>
    </xf>
    <xf numFmtId="164" fontId="9" fillId="9" borderId="9" xfId="0" applyNumberFormat="1" applyFont="1" applyFill="1" applyBorder="1" applyAlignment="1">
      <alignment horizontal="center" vertical="center"/>
    </xf>
    <xf numFmtId="164" fontId="12" fillId="9" borderId="9" xfId="0" applyNumberFormat="1" applyFont="1" applyFill="1" applyBorder="1" applyAlignment="1">
      <alignment horizontal="center" vertical="center"/>
    </xf>
    <xf numFmtId="0" fontId="21" fillId="9" borderId="0" xfId="0" applyFont="1" applyFill="1"/>
    <xf numFmtId="0" fontId="5" fillId="9" borderId="0" xfId="0" applyFont="1" applyFill="1" applyAlignment="1">
      <alignment vertical="center"/>
    </xf>
    <xf numFmtId="165" fontId="5" fillId="9" borderId="0" xfId="2" applyNumberFormat="1" applyFont="1" applyFill="1" applyAlignment="1">
      <alignment vertical="center"/>
    </xf>
    <xf numFmtId="0" fontId="5" fillId="9" borderId="0" xfId="2" applyNumberFormat="1" applyFont="1" applyFill="1" applyAlignment="1">
      <alignment vertical="center"/>
    </xf>
    <xf numFmtId="0" fontId="22" fillId="9" borderId="0" xfId="0" applyFont="1" applyFill="1" applyAlignment="1">
      <alignment vertical="center"/>
    </xf>
    <xf numFmtId="0" fontId="22" fillId="9" borderId="0" xfId="0" applyFont="1" applyFill="1" applyAlignment="1">
      <alignment horizontal="right" vertical="center"/>
    </xf>
    <xf numFmtId="0" fontId="23" fillId="9" borderId="0" xfId="0" applyFont="1" applyFill="1" applyAlignment="1">
      <alignment vertical="center"/>
    </xf>
    <xf numFmtId="9" fontId="5" fillId="9" borderId="0" xfId="2" applyFont="1" applyFill="1" applyAlignment="1">
      <alignment vertical="center"/>
    </xf>
    <xf numFmtId="0" fontId="5" fillId="9" borderId="0" xfId="0" applyFont="1" applyFill="1" applyAlignment="1">
      <alignment horizontal="right" vertical="center"/>
    </xf>
    <xf numFmtId="4" fontId="5" fillId="9" borderId="0" xfId="0" applyNumberFormat="1" applyFont="1" applyFill="1" applyAlignment="1">
      <alignment vertical="center"/>
    </xf>
    <xf numFmtId="166" fontId="5" fillId="9" borderId="0" xfId="0" applyNumberFormat="1" applyFont="1" applyFill="1" applyAlignment="1">
      <alignment vertical="center"/>
    </xf>
    <xf numFmtId="0" fontId="24" fillId="9" borderId="0" xfId="0" applyFont="1" applyFill="1" applyAlignment="1">
      <alignment horizontal="left"/>
    </xf>
    <xf numFmtId="0" fontId="25" fillId="9" borderId="0" xfId="0" applyFont="1" applyFill="1" applyAlignment="1">
      <alignment vertical="center"/>
    </xf>
    <xf numFmtId="0" fontId="3" fillId="9" borderId="0" xfId="0" applyFont="1" applyFill="1" applyAlignment="1">
      <alignment vertical="center"/>
    </xf>
    <xf numFmtId="0" fontId="15" fillId="2" borderId="0" xfId="1" applyFont="1" applyFill="1" applyAlignment="1">
      <alignment horizontal="left" indent="2"/>
    </xf>
    <xf numFmtId="10" fontId="5" fillId="9" borderId="0" xfId="0" applyNumberFormat="1" applyFont="1" applyFill="1" applyAlignment="1">
      <alignment vertical="center"/>
    </xf>
    <xf numFmtId="0" fontId="8" fillId="2" borderId="0" xfId="0" applyFont="1" applyFill="1" applyAlignment="1">
      <alignment horizontal="right" vertical="center"/>
    </xf>
    <xf numFmtId="0" fontId="8" fillId="2" borderId="0" xfId="0" applyFont="1" applyFill="1" applyAlignment="1">
      <alignment vertical="center"/>
    </xf>
    <xf numFmtId="0" fontId="10" fillId="2" borderId="5" xfId="0" applyFont="1" applyFill="1" applyBorder="1" applyAlignment="1">
      <alignment vertical="center"/>
    </xf>
    <xf numFmtId="0" fontId="9" fillId="2" borderId="5" xfId="0" applyFont="1" applyFill="1" applyBorder="1" applyAlignment="1">
      <alignment horizontal="center" vertical="center"/>
    </xf>
    <xf numFmtId="0" fontId="9" fillId="2" borderId="5" xfId="0" applyFont="1" applyFill="1" applyBorder="1" applyAlignment="1">
      <alignment horizontal="right" vertical="center"/>
    </xf>
    <xf numFmtId="1" fontId="9" fillId="2" borderId="0" xfId="0" applyNumberFormat="1" applyFont="1" applyFill="1" applyAlignment="1">
      <alignment horizontal="left" vertical="center"/>
    </xf>
    <xf numFmtId="9" fontId="9" fillId="2" borderId="0" xfId="2" applyFont="1" applyFill="1" applyAlignment="1">
      <alignment horizontal="right" vertical="center"/>
    </xf>
    <xf numFmtId="0" fontId="9" fillId="2" borderId="0" xfId="0" applyFont="1" applyFill="1" applyAlignment="1">
      <alignment horizontal="left" vertical="center"/>
    </xf>
    <xf numFmtId="0" fontId="9" fillId="2" borderId="1" xfId="0" applyFont="1" applyFill="1" applyBorder="1" applyAlignment="1">
      <alignment horizontal="left" vertical="center"/>
    </xf>
    <xf numFmtId="0" fontId="8" fillId="2" borderId="1" xfId="0" applyFont="1" applyFill="1" applyBorder="1" applyAlignment="1">
      <alignment vertical="center"/>
    </xf>
    <xf numFmtId="9" fontId="9" fillId="2" borderId="1" xfId="2" applyFont="1" applyFill="1" applyBorder="1" applyAlignment="1">
      <alignment horizontal="right" vertical="center"/>
    </xf>
    <xf numFmtId="9" fontId="28" fillId="2" borderId="0" xfId="2" applyFont="1" applyFill="1" applyAlignment="1">
      <alignment horizontal="right" vertical="center"/>
    </xf>
    <xf numFmtId="0" fontId="9" fillId="2" borderId="5" xfId="0" quotePrefix="1" applyFont="1" applyFill="1" applyBorder="1" applyAlignment="1">
      <alignment horizontal="right" vertical="center"/>
    </xf>
    <xf numFmtId="0" fontId="9" fillId="2" borderId="1" xfId="0" applyFont="1" applyFill="1" applyBorder="1" applyAlignment="1">
      <alignment vertical="center"/>
    </xf>
    <xf numFmtId="9" fontId="28" fillId="2" borderId="1" xfId="2" applyFont="1" applyFill="1" applyBorder="1" applyAlignment="1">
      <alignment horizontal="right" vertical="center"/>
    </xf>
    <xf numFmtId="0" fontId="14" fillId="2" borderId="0" xfId="1" applyFont="1" applyFill="1" applyAlignment="1">
      <alignment horizontal="left"/>
    </xf>
    <xf numFmtId="0" fontId="10" fillId="2" borderId="0" xfId="0" applyFont="1" applyFill="1" applyAlignment="1">
      <alignment vertical="center"/>
    </xf>
    <xf numFmtId="0" fontId="10" fillId="2" borderId="1" xfId="0" applyFont="1" applyFill="1" applyBorder="1" applyAlignment="1">
      <alignment vertical="center"/>
    </xf>
    <xf numFmtId="0" fontId="9" fillId="2" borderId="1" xfId="0" applyFont="1" applyFill="1" applyBorder="1" applyAlignment="1">
      <alignment horizontal="right" vertical="center"/>
    </xf>
    <xf numFmtId="0" fontId="17" fillId="2" borderId="0" xfId="3" applyFont="1" applyFill="1"/>
    <xf numFmtId="0" fontId="30" fillId="2" borderId="14" xfId="3" applyFont="1" applyFill="1" applyBorder="1" applyAlignment="1">
      <alignment horizontal="center" wrapText="1"/>
    </xf>
    <xf numFmtId="0" fontId="30" fillId="2" borderId="15" xfId="3" applyFont="1" applyFill="1" applyBorder="1" applyAlignment="1">
      <alignment horizontal="center" wrapText="1"/>
    </xf>
    <xf numFmtId="0" fontId="17" fillId="2" borderId="16" xfId="3" applyFont="1" applyFill="1" applyBorder="1" applyAlignment="1">
      <alignment horizontal="center" vertical="center"/>
    </xf>
    <xf numFmtId="0" fontId="17" fillId="2" borderId="17" xfId="3" applyFont="1" applyFill="1" applyBorder="1" applyAlignment="1">
      <alignment vertical="center" wrapText="1"/>
    </xf>
    <xf numFmtId="0" fontId="17" fillId="2" borderId="17" xfId="3" applyFont="1" applyFill="1" applyBorder="1" applyAlignment="1">
      <alignment horizontal="center" vertical="center" wrapText="1"/>
    </xf>
    <xf numFmtId="0" fontId="17" fillId="2" borderId="17" xfId="3" applyFont="1" applyFill="1" applyBorder="1" applyAlignment="1">
      <alignment horizontal="center" vertical="center"/>
    </xf>
    <xf numFmtId="0" fontId="17" fillId="2" borderId="18" xfId="3" applyFont="1" applyFill="1" applyBorder="1" applyAlignment="1">
      <alignment horizontal="center" vertical="center"/>
    </xf>
    <xf numFmtId="0" fontId="17" fillId="2" borderId="9" xfId="3" applyFont="1" applyFill="1" applyBorder="1" applyAlignment="1">
      <alignment vertical="center" wrapText="1"/>
    </xf>
    <xf numFmtId="0" fontId="17" fillId="2" borderId="9" xfId="3" applyFont="1" applyFill="1" applyBorder="1" applyAlignment="1">
      <alignment horizontal="center" vertical="center" wrapText="1"/>
    </xf>
    <xf numFmtId="0" fontId="17" fillId="2" borderId="9" xfId="3" applyFont="1" applyFill="1" applyBorder="1" applyAlignment="1">
      <alignment horizontal="center" vertical="center"/>
    </xf>
    <xf numFmtId="0" fontId="17" fillId="2" borderId="19" xfId="3" applyFont="1" applyFill="1" applyBorder="1" applyAlignment="1">
      <alignment horizontal="center" vertical="center"/>
    </xf>
    <xf numFmtId="0" fontId="17" fillId="2" borderId="20" xfId="3" applyFont="1" applyFill="1" applyBorder="1" applyAlignment="1">
      <alignment vertical="center" wrapText="1"/>
    </xf>
    <xf numFmtId="0" fontId="17" fillId="2" borderId="20" xfId="3" applyFont="1" applyFill="1" applyBorder="1" applyAlignment="1">
      <alignment horizontal="center" vertical="center" wrapText="1"/>
    </xf>
    <xf numFmtId="0" fontId="17" fillId="2" borderId="20" xfId="3" applyFont="1" applyFill="1" applyBorder="1" applyAlignment="1">
      <alignment horizontal="center" vertical="center"/>
    </xf>
    <xf numFmtId="0" fontId="17" fillId="2" borderId="21" xfId="3" applyFont="1" applyFill="1" applyBorder="1" applyAlignment="1">
      <alignment horizontal="center" vertical="center"/>
    </xf>
    <xf numFmtId="0" fontId="17" fillId="2" borderId="22" xfId="3" applyFont="1" applyFill="1" applyBorder="1" applyAlignment="1">
      <alignment vertical="center" wrapText="1"/>
    </xf>
    <xf numFmtId="0" fontId="17" fillId="2" borderId="22" xfId="3" applyFont="1" applyFill="1" applyBorder="1" applyAlignment="1">
      <alignment horizontal="center" vertical="center" wrapText="1"/>
    </xf>
    <xf numFmtId="0" fontId="17" fillId="2" borderId="22" xfId="3" applyFont="1" applyFill="1" applyBorder="1" applyAlignment="1">
      <alignment horizontal="center" vertical="center"/>
    </xf>
    <xf numFmtId="0" fontId="17" fillId="2" borderId="23" xfId="3" applyFont="1" applyFill="1" applyBorder="1" applyAlignment="1">
      <alignment horizontal="center" vertical="center"/>
    </xf>
    <xf numFmtId="0" fontId="17" fillId="2" borderId="0" xfId="3" applyFont="1" applyFill="1" applyAlignment="1">
      <alignment horizontal="center"/>
    </xf>
    <xf numFmtId="0" fontId="17" fillId="2" borderId="0" xfId="3" applyFont="1" applyFill="1" applyAlignment="1">
      <alignment horizontal="center" wrapText="1"/>
    </xf>
    <xf numFmtId="0" fontId="14" fillId="2" borderId="3" xfId="1" applyFont="1" applyFill="1" applyBorder="1" applyAlignment="1">
      <alignment horizontal="center" vertical="center" wrapText="1"/>
    </xf>
    <xf numFmtId="0" fontId="2" fillId="2" borderId="0" xfId="0" applyFont="1" applyFill="1"/>
    <xf numFmtId="0" fontId="31" fillId="2" borderId="0" xfId="0" applyFont="1" applyFill="1" applyAlignment="1">
      <alignment horizontal="center" vertical="top" wrapText="1"/>
    </xf>
    <xf numFmtId="0" fontId="31" fillId="2" borderId="0" xfId="0" applyFont="1" applyFill="1" applyAlignment="1">
      <alignment horizontal="center" vertical="top"/>
    </xf>
    <xf numFmtId="0" fontId="2" fillId="2" borderId="0" xfId="0" applyFont="1" applyFill="1" applyAlignment="1">
      <alignment horizontal="left" vertical="center" wrapText="1"/>
    </xf>
    <xf numFmtId="0" fontId="2" fillId="2" borderId="0" xfId="0" applyFont="1" applyFill="1" applyAlignment="1">
      <alignment horizontal="left" wrapText="1"/>
    </xf>
    <xf numFmtId="0" fontId="31" fillId="2" borderId="0" xfId="0" applyFont="1" applyFill="1" applyAlignment="1">
      <alignment vertical="center"/>
    </xf>
    <xf numFmtId="0" fontId="21" fillId="2" borderId="0" xfId="0" applyFont="1" applyFill="1" applyAlignment="1">
      <alignment vertical="center"/>
    </xf>
    <xf numFmtId="0" fontId="34" fillId="2" borderId="0" xfId="0" applyFont="1" applyFill="1"/>
    <xf numFmtId="0" fontId="1" fillId="2" borderId="0" xfId="0" applyFont="1" applyFill="1" applyAlignment="1">
      <alignment vertical="center" wrapText="1"/>
    </xf>
    <xf numFmtId="0" fontId="35" fillId="2" borderId="0" xfId="0" applyFont="1" applyFill="1" applyAlignment="1">
      <alignment wrapText="1"/>
    </xf>
    <xf numFmtId="0" fontId="1" fillId="2" borderId="0" xfId="0" applyFont="1" applyFill="1" applyAlignment="1">
      <alignment wrapText="1"/>
    </xf>
    <xf numFmtId="0" fontId="35" fillId="2" borderId="0" xfId="0" quotePrefix="1" applyFont="1" applyFill="1" applyAlignment="1">
      <alignment vertical="center" wrapText="1"/>
    </xf>
    <xf numFmtId="0" fontId="1" fillId="2" borderId="0" xfId="0" applyFont="1" applyFill="1"/>
    <xf numFmtId="0" fontId="1" fillId="2" borderId="0" xfId="0" applyFont="1" applyFill="1" applyAlignment="1">
      <alignment vertical="center"/>
    </xf>
    <xf numFmtId="0" fontId="36" fillId="2" borderId="0" xfId="0" applyFont="1" applyFill="1"/>
    <xf numFmtId="0" fontId="30" fillId="2" borderId="5" xfId="3" applyFont="1" applyFill="1" applyBorder="1" applyAlignment="1">
      <alignment vertical="center"/>
    </xf>
    <xf numFmtId="0" fontId="9" fillId="2" borderId="0" xfId="0" applyFont="1" applyFill="1"/>
    <xf numFmtId="0" fontId="32" fillId="2" borderId="0" xfId="0" applyFont="1" applyFill="1"/>
    <xf numFmtId="0" fontId="33" fillId="0" borderId="0" xfId="0" applyFont="1" applyAlignment="1">
      <alignment horizontal="left" vertical="top" wrapText="1"/>
    </xf>
    <xf numFmtId="0" fontId="2" fillId="2" borderId="0" xfId="0" applyFont="1" applyFill="1" applyAlignment="1">
      <alignment horizontal="left" vertical="center" wrapText="1"/>
    </xf>
    <xf numFmtId="0" fontId="10" fillId="2" borderId="0" xfId="0" applyFont="1" applyFill="1" applyAlignment="1">
      <alignment horizontal="left" vertical="center" wrapText="1"/>
    </xf>
    <xf numFmtId="0" fontId="10" fillId="2" borderId="0" xfId="0" applyFont="1" applyFill="1" applyAlignment="1">
      <alignment horizontal="left" wrapText="1"/>
    </xf>
    <xf numFmtId="0" fontId="30" fillId="2" borderId="0" xfId="0" applyFont="1" applyFill="1" applyAlignment="1">
      <alignment horizontal="left" vertical="top" wrapText="1"/>
    </xf>
    <xf numFmtId="0" fontId="30" fillId="2" borderId="0" xfId="0" applyFont="1" applyFill="1" applyAlignment="1">
      <alignment horizontal="left" wrapText="1"/>
    </xf>
    <xf numFmtId="0" fontId="31" fillId="2" borderId="0" xfId="0" applyFont="1" applyFill="1" applyAlignment="1">
      <alignment horizontal="left" vertical="center" wrapText="1"/>
    </xf>
    <xf numFmtId="0" fontId="32" fillId="2" borderId="0" xfId="0" applyFont="1" applyFill="1" applyAlignment="1">
      <alignment horizontal="left" wrapText="1"/>
    </xf>
    <xf numFmtId="0" fontId="2" fillId="2" borderId="0" xfId="0" applyFont="1" applyFill="1" applyAlignment="1">
      <alignment horizontal="left" wrapText="1"/>
    </xf>
    <xf numFmtId="0" fontId="31" fillId="2" borderId="0" xfId="0" applyFont="1" applyFill="1"/>
    <xf numFmtId="0" fontId="2" fillId="2" borderId="0" xfId="0" applyFont="1" applyFill="1"/>
    <xf numFmtId="0" fontId="2" fillId="2" borderId="0" xfId="0" applyFont="1" applyFill="1" applyAlignment="1">
      <alignment vertical="center" wrapText="1"/>
    </xf>
    <xf numFmtId="0" fontId="1" fillId="2" borderId="0" xfId="0" applyFont="1" applyFill="1" applyAlignment="1">
      <alignment vertical="center" wrapText="1"/>
    </xf>
    <xf numFmtId="0" fontId="30" fillId="2" borderId="12" xfId="3" applyFont="1" applyFill="1" applyBorder="1" applyAlignment="1">
      <alignment horizontal="center"/>
    </xf>
    <xf numFmtId="0" fontId="30" fillId="2" borderId="13" xfId="3" applyFont="1" applyFill="1" applyBorder="1" applyAlignment="1">
      <alignment horizontal="center"/>
    </xf>
    <xf numFmtId="0" fontId="14" fillId="2" borderId="0" xfId="1" applyFont="1" applyFill="1" applyAlignment="1">
      <alignment horizontal="center" vertical="center" wrapText="1"/>
    </xf>
    <xf numFmtId="0" fontId="4" fillId="6" borderId="8" xfId="0" applyFont="1" applyFill="1" applyBorder="1" applyAlignment="1">
      <alignment horizontal="center" vertical="center" textRotation="90" wrapText="1"/>
    </xf>
    <xf numFmtId="0" fontId="4" fillId="6" borderId="0" xfId="0" applyFont="1" applyFill="1" applyAlignment="1">
      <alignment horizontal="center" vertical="center" textRotation="90" wrapText="1"/>
    </xf>
    <xf numFmtId="0" fontId="4" fillId="6" borderId="7" xfId="0" applyFont="1" applyFill="1" applyBorder="1" applyAlignment="1">
      <alignment horizontal="center" vertical="center" textRotation="90" wrapText="1"/>
    </xf>
    <xf numFmtId="0" fontId="27" fillId="9" borderId="4" xfId="1" applyFont="1" applyFill="1" applyBorder="1" applyAlignment="1">
      <alignment horizontal="center" vertical="center" wrapText="1"/>
    </xf>
    <xf numFmtId="0" fontId="27" fillId="9" borderId="2" xfId="1" applyFont="1" applyFill="1" applyBorder="1" applyAlignment="1">
      <alignment horizontal="center" vertical="center" wrapText="1"/>
    </xf>
    <xf numFmtId="0" fontId="4" fillId="4" borderId="6" xfId="0" applyFont="1" applyFill="1" applyBorder="1" applyAlignment="1">
      <alignment horizontal="center" vertical="center" textRotation="90" wrapText="1"/>
    </xf>
    <xf numFmtId="0" fontId="4" fillId="4" borderId="0" xfId="0" applyFont="1" applyFill="1" applyAlignment="1">
      <alignment horizontal="center" vertical="center" textRotation="90"/>
    </xf>
    <xf numFmtId="0" fontId="4" fillId="5" borderId="8" xfId="0" applyFont="1" applyFill="1" applyBorder="1" applyAlignment="1">
      <alignment horizontal="center" vertical="center" textRotation="90" wrapText="1"/>
    </xf>
    <xf numFmtId="0" fontId="4" fillId="5" borderId="0" xfId="0" applyFont="1" applyFill="1" applyAlignment="1">
      <alignment horizontal="center" vertical="center" textRotation="90"/>
    </xf>
    <xf numFmtId="0" fontId="4" fillId="5" borderId="7" xfId="0" applyFont="1" applyFill="1" applyBorder="1" applyAlignment="1">
      <alignment horizontal="center" vertical="center" textRotation="90"/>
    </xf>
    <xf numFmtId="0" fontId="4" fillId="3" borderId="0" xfId="0" applyFont="1" applyFill="1" applyAlignment="1">
      <alignment horizontal="center" vertical="center" textRotation="90" wrapText="1"/>
    </xf>
    <xf numFmtId="0" fontId="4" fillId="3" borderId="7" xfId="0" applyFont="1" applyFill="1" applyBorder="1" applyAlignment="1">
      <alignment horizontal="center" vertical="center" textRotation="90" wrapText="1"/>
    </xf>
    <xf numFmtId="0" fontId="4" fillId="6" borderId="0" xfId="0" applyFont="1" applyFill="1" applyAlignment="1">
      <alignment horizontal="center" vertical="center" textRotation="90"/>
    </xf>
    <xf numFmtId="0" fontId="4" fillId="6" borderId="1" xfId="0" applyFont="1" applyFill="1" applyBorder="1" applyAlignment="1">
      <alignment horizontal="center" vertical="center" textRotation="90"/>
    </xf>
    <xf numFmtId="0" fontId="20" fillId="9" borderId="0" xfId="0" applyFont="1" applyFill="1" applyAlignment="1">
      <alignment horizontal="center" vertical="center"/>
    </xf>
    <xf numFmtId="0" fontId="20" fillId="9" borderId="9" xfId="0" applyFont="1" applyFill="1" applyBorder="1" applyAlignment="1">
      <alignment horizontal="center" vertical="center"/>
    </xf>
    <xf numFmtId="0" fontId="9" fillId="9" borderId="10" xfId="0" applyFont="1" applyFill="1" applyBorder="1" applyAlignment="1">
      <alignment horizontal="center" vertical="center"/>
    </xf>
    <xf numFmtId="0" fontId="9" fillId="9" borderId="11" xfId="0" applyFont="1" applyFill="1" applyBorder="1" applyAlignment="1">
      <alignment horizontal="center" vertical="center"/>
    </xf>
    <xf numFmtId="0" fontId="4" fillId="8" borderId="8" xfId="0" applyFont="1" applyFill="1" applyBorder="1" applyAlignment="1">
      <alignment horizontal="center" vertical="center" textRotation="90" wrapText="1"/>
    </xf>
    <xf numFmtId="0" fontId="4" fillId="8" borderId="0" xfId="0" applyFont="1" applyFill="1" applyAlignment="1">
      <alignment horizontal="center" vertical="center" textRotation="90" wrapText="1"/>
    </xf>
    <xf numFmtId="0" fontId="4" fillId="8" borderId="7" xfId="0" applyFont="1" applyFill="1" applyBorder="1" applyAlignment="1">
      <alignment horizontal="center" vertical="center" textRotation="90" wrapText="1"/>
    </xf>
    <xf numFmtId="0" fontId="4" fillId="3" borderId="8" xfId="0" applyFont="1" applyFill="1" applyBorder="1" applyAlignment="1">
      <alignment horizontal="center" vertical="center" textRotation="90"/>
    </xf>
    <xf numFmtId="0" fontId="4" fillId="3" borderId="0" xfId="0" applyFont="1" applyFill="1" applyAlignment="1">
      <alignment horizontal="center" vertical="center" textRotation="90"/>
    </xf>
    <xf numFmtId="0" fontId="14" fillId="2" borderId="0" xfId="1" applyFont="1" applyFill="1" applyAlignment="1">
      <alignment horizontal="right" vertical="center" wrapText="1"/>
    </xf>
    <xf numFmtId="0" fontId="4" fillId="2" borderId="0" xfId="0" applyFont="1" applyFill="1" applyAlignment="1">
      <alignment horizontal="left" vertical="center" wrapText="1"/>
    </xf>
    <xf numFmtId="0" fontId="14" fillId="2" borderId="1" xfId="1" applyFont="1" applyFill="1" applyBorder="1" applyAlignment="1">
      <alignment horizontal="right" vertical="center" wrapText="1"/>
    </xf>
  </cellXfs>
  <cellStyles count="4">
    <cellStyle name="Hyperlink" xfId="1" builtinId="8"/>
    <cellStyle name="Normal" xfId="0" builtinId="0"/>
    <cellStyle name="Normal 2 2" xfId="3" xr:uid="{E36A9025-FBB2-4E49-AB46-F69593DAD802}"/>
    <cellStyle name="Percent 2" xfId="2" xr:uid="{232EFC0E-8CB1-4699-AA65-7EBEDF4CC3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trawl'!$A$48</c:f>
          <c:strCache>
            <c:ptCount val="1"/>
            <c:pt idx="0">
              <c:v>Landings per kW day at sea (kg)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3849-4DF2-805C-0FD22888C1BC}"/>
              </c:ext>
            </c:extLst>
          </c:dPt>
          <c:dPt>
            <c:idx val="10"/>
            <c:bubble3D val="0"/>
            <c:spPr>
              <a:ln w="57150">
                <a:solidFill>
                  <a:srgbClr val="2273B9"/>
                </a:solidFill>
                <a:prstDash val="sysDot"/>
              </a:ln>
            </c:spPr>
            <c:extLst>
              <c:ext xmlns:c16="http://schemas.microsoft.com/office/drawing/2014/chart" uri="{C3380CC4-5D6E-409C-BE32-E72D297353CC}">
                <c16:uniqueId val="{00000003-3849-4DF2-805C-0FD22888C1BC}"/>
              </c:ext>
            </c:extLst>
          </c:dPt>
          <c:cat>
            <c:numRef>
              <c:f>'Area VIIa demersal trawl'!$D$2:$N$2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'Area VIIa demersal trawl'!$D$21:$N$21</c:f>
              <c:numCache>
                <c:formatCode>#,##0.00</c:formatCode>
                <c:ptCount val="11"/>
                <c:pt idx="0">
                  <c:v>3.1766208160997804</c:v>
                </c:pt>
                <c:pt idx="1">
                  <c:v>9.0302183956802242</c:v>
                </c:pt>
                <c:pt idx="2">
                  <c:v>5.0591183343934532</c:v>
                </c:pt>
                <c:pt idx="3">
                  <c:v>4.0653059428622118</c:v>
                </c:pt>
                <c:pt idx="4">
                  <c:v>4.2261352852664862</c:v>
                </c:pt>
                <c:pt idx="5">
                  <c:v>3.6625630452172468</c:v>
                </c:pt>
                <c:pt idx="6">
                  <c:v>3.3285495658737556</c:v>
                </c:pt>
                <c:pt idx="7">
                  <c:v>4.0765249479553862</c:v>
                </c:pt>
                <c:pt idx="8">
                  <c:v>3.535603763741678</c:v>
                </c:pt>
                <c:pt idx="9">
                  <c:v>2.6434324748556652</c:v>
                </c:pt>
                <c:pt idx="10">
                  <c:v>3.2628673644330095</c:v>
                </c:pt>
              </c:numCache>
            </c:numRef>
          </c:val>
          <c:smooth val="0"/>
          <c:extLst>
            <c:ext xmlns:c16="http://schemas.microsoft.com/office/drawing/2014/chart" uri="{C3380CC4-5D6E-409C-BE32-E72D297353CC}">
              <c16:uniqueId val="{00000004-3849-4DF2-805C-0FD22888C1BC}"/>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'Area VIIa demersal trawl'!$B$162</c:f>
              <c:strCache>
                <c:ptCount val="1"/>
                <c:pt idx="0">
                  <c:v>Haddock</c:v>
                </c:pt>
              </c:strCache>
            </c:strRef>
          </c:tx>
          <c:spPr>
            <a:solidFill>
              <a:srgbClr val="2273B9"/>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trawl'!$C$162:$E$162</c:f>
              <c:numCache>
                <c:formatCode>0%</c:formatCode>
                <c:ptCount val="3"/>
                <c:pt idx="0">
                  <c:v>0</c:v>
                </c:pt>
                <c:pt idx="1">
                  <c:v>0</c:v>
                </c:pt>
                <c:pt idx="2">
                  <c:v>0</c:v>
                </c:pt>
              </c:numCache>
            </c:numRef>
          </c:val>
          <c:extLst>
            <c:ext xmlns:c16="http://schemas.microsoft.com/office/drawing/2014/chart" uri="{C3380CC4-5D6E-409C-BE32-E72D297353CC}">
              <c16:uniqueId val="{00000000-44CC-4688-831E-FFB6D5BA3CB2}"/>
            </c:ext>
          </c:extLst>
        </c:ser>
        <c:ser>
          <c:idx val="1"/>
          <c:order val="1"/>
          <c:tx>
            <c:strRef>
              <c:f>'Area VIIa demersal trawl'!$B$163</c:f>
              <c:strCache>
                <c:ptCount val="1"/>
                <c:pt idx="0">
                  <c:v>Cod</c:v>
                </c:pt>
              </c:strCache>
            </c:strRef>
          </c:tx>
          <c:spPr>
            <a:solidFill>
              <a:srgbClr val="E87308"/>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trawl'!$C$163:$E$163</c:f>
              <c:numCache>
                <c:formatCode>0%</c:formatCode>
                <c:ptCount val="3"/>
                <c:pt idx="0">
                  <c:v>0</c:v>
                </c:pt>
                <c:pt idx="1">
                  <c:v>0</c:v>
                </c:pt>
                <c:pt idx="2">
                  <c:v>0</c:v>
                </c:pt>
              </c:numCache>
            </c:numRef>
          </c:val>
          <c:extLst>
            <c:ext xmlns:c16="http://schemas.microsoft.com/office/drawing/2014/chart" uri="{C3380CC4-5D6E-409C-BE32-E72D297353CC}">
              <c16:uniqueId val="{00000001-44CC-4688-831E-FFB6D5BA3CB2}"/>
            </c:ext>
          </c:extLst>
        </c:ser>
        <c:ser>
          <c:idx val="2"/>
          <c:order val="2"/>
          <c:tx>
            <c:strRef>
              <c:f>'Area VIIa demersal trawl'!$B$164</c:f>
              <c:strCache>
                <c:ptCount val="1"/>
                <c:pt idx="0">
                  <c:v>Hake</c:v>
                </c:pt>
              </c:strCache>
            </c:strRef>
          </c:tx>
          <c:spPr>
            <a:solidFill>
              <a:srgbClr val="648C2E"/>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trawl'!$C$164:$E$164</c:f>
              <c:numCache>
                <c:formatCode>0%</c:formatCode>
                <c:ptCount val="3"/>
                <c:pt idx="0">
                  <c:v>0</c:v>
                </c:pt>
                <c:pt idx="1">
                  <c:v>0</c:v>
                </c:pt>
                <c:pt idx="2">
                  <c:v>0</c:v>
                </c:pt>
              </c:numCache>
            </c:numRef>
          </c:val>
          <c:extLst>
            <c:ext xmlns:c16="http://schemas.microsoft.com/office/drawing/2014/chart" uri="{C3380CC4-5D6E-409C-BE32-E72D297353CC}">
              <c16:uniqueId val="{00000002-44CC-4688-831E-FFB6D5BA3CB2}"/>
            </c:ext>
          </c:extLst>
        </c:ser>
        <c:ser>
          <c:idx val="3"/>
          <c:order val="3"/>
          <c:tx>
            <c:strRef>
              <c:f>'Area VIIa demersal trawl'!$B$165</c:f>
              <c:strCache>
                <c:ptCount val="1"/>
                <c:pt idx="0">
                  <c:v>Pollack</c:v>
                </c:pt>
              </c:strCache>
            </c:strRef>
          </c:tx>
          <c:spPr>
            <a:solidFill>
              <a:srgbClr val="E84A38"/>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trawl'!$C$165:$E$165</c:f>
              <c:numCache>
                <c:formatCode>0%</c:formatCode>
                <c:ptCount val="3"/>
                <c:pt idx="0">
                  <c:v>0</c:v>
                </c:pt>
                <c:pt idx="1">
                  <c:v>0</c:v>
                </c:pt>
                <c:pt idx="2">
                  <c:v>0</c:v>
                </c:pt>
              </c:numCache>
            </c:numRef>
          </c:val>
          <c:extLst>
            <c:ext xmlns:c16="http://schemas.microsoft.com/office/drawing/2014/chart" uri="{C3380CC4-5D6E-409C-BE32-E72D297353CC}">
              <c16:uniqueId val="{00000003-44CC-4688-831E-FFB6D5BA3CB2}"/>
            </c:ext>
          </c:extLst>
        </c:ser>
        <c:ser>
          <c:idx val="4"/>
          <c:order val="4"/>
          <c:tx>
            <c:strRef>
              <c:f>'Area VIIa demersal trawl'!$B$166</c:f>
              <c:strCache>
                <c:ptCount val="1"/>
                <c:pt idx="0">
                  <c:v>Whiting</c:v>
                </c:pt>
              </c:strCache>
            </c:strRef>
          </c:tx>
          <c:spPr>
            <a:solidFill>
              <a:srgbClr val="FED825"/>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trawl'!$C$166:$E$166</c:f>
              <c:numCache>
                <c:formatCode>0%</c:formatCode>
                <c:ptCount val="3"/>
                <c:pt idx="0">
                  <c:v>0</c:v>
                </c:pt>
                <c:pt idx="1">
                  <c:v>0</c:v>
                </c:pt>
                <c:pt idx="2">
                  <c:v>0</c:v>
                </c:pt>
              </c:numCache>
            </c:numRef>
          </c:val>
          <c:extLst>
            <c:ext xmlns:c16="http://schemas.microsoft.com/office/drawing/2014/chart" uri="{C3380CC4-5D6E-409C-BE32-E72D297353CC}">
              <c16:uniqueId val="{00000004-44CC-4688-831E-FFB6D5BA3CB2}"/>
            </c:ext>
          </c:extLst>
        </c:ser>
        <c:ser>
          <c:idx val="5"/>
          <c:order val="5"/>
          <c:tx>
            <c:strRef>
              <c:f>'Area VIIa demersal trawl'!$B$167</c:f>
              <c:strCache>
                <c:ptCount val="1"/>
                <c:pt idx="0">
                  <c:v>Scallops</c:v>
                </c:pt>
              </c:strCache>
            </c:strRef>
          </c:tx>
          <c:spPr>
            <a:solidFill>
              <a:srgbClr val="C1D119"/>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trawl'!$C$167:$E$167</c:f>
              <c:numCache>
                <c:formatCode>0%</c:formatCode>
                <c:ptCount val="3"/>
                <c:pt idx="0">
                  <c:v>0</c:v>
                </c:pt>
                <c:pt idx="1">
                  <c:v>0</c:v>
                </c:pt>
                <c:pt idx="2">
                  <c:v>0</c:v>
                </c:pt>
              </c:numCache>
            </c:numRef>
          </c:val>
          <c:extLst>
            <c:ext xmlns:c16="http://schemas.microsoft.com/office/drawing/2014/chart" uri="{C3380CC4-5D6E-409C-BE32-E72D297353CC}">
              <c16:uniqueId val="{00000005-44CC-4688-831E-FFB6D5BA3CB2}"/>
            </c:ext>
          </c:extLst>
        </c:ser>
        <c:ser>
          <c:idx val="6"/>
          <c:order val="6"/>
          <c:tx>
            <c:strRef>
              <c:f>'Area VIIa demersal trawl'!$B$168</c:f>
              <c:strCache>
                <c:ptCount val="1"/>
                <c:pt idx="0">
                  <c:v>Queen Scallops</c:v>
                </c:pt>
              </c:strCache>
            </c:strRef>
          </c:tx>
          <c:spPr>
            <a:solidFill>
              <a:srgbClr val="0F9AA9"/>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trawl'!$C$168:$E$168</c:f>
              <c:numCache>
                <c:formatCode>0%</c:formatCode>
                <c:ptCount val="3"/>
                <c:pt idx="0">
                  <c:v>0</c:v>
                </c:pt>
                <c:pt idx="1">
                  <c:v>0</c:v>
                </c:pt>
                <c:pt idx="2">
                  <c:v>0</c:v>
                </c:pt>
              </c:numCache>
            </c:numRef>
          </c:val>
          <c:extLst>
            <c:ext xmlns:c16="http://schemas.microsoft.com/office/drawing/2014/chart" uri="{C3380CC4-5D6E-409C-BE32-E72D297353CC}">
              <c16:uniqueId val="{00000006-44CC-4688-831E-FFB6D5BA3CB2}"/>
            </c:ext>
          </c:extLst>
        </c:ser>
        <c:ser>
          <c:idx val="7"/>
          <c:order val="7"/>
          <c:tx>
            <c:strRef>
              <c:f>'Area VIIa demersal trawl'!$B$169</c:f>
              <c:strCache>
                <c:ptCount val="1"/>
                <c:pt idx="0">
                  <c:v>Les. Spot. Dog</c:v>
                </c:pt>
              </c:strCache>
            </c:strRef>
          </c:tx>
          <c:spPr>
            <a:solidFill>
              <a:srgbClr val="51AA81"/>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trawl'!$C$169:$E$169</c:f>
              <c:numCache>
                <c:formatCode>0%</c:formatCode>
                <c:ptCount val="3"/>
                <c:pt idx="0">
                  <c:v>0</c:v>
                </c:pt>
                <c:pt idx="1">
                  <c:v>0</c:v>
                </c:pt>
                <c:pt idx="2">
                  <c:v>0</c:v>
                </c:pt>
              </c:numCache>
            </c:numRef>
          </c:val>
          <c:extLst>
            <c:ext xmlns:c16="http://schemas.microsoft.com/office/drawing/2014/chart" uri="{C3380CC4-5D6E-409C-BE32-E72D297353CC}">
              <c16:uniqueId val="{00000007-44CC-4688-831E-FFB6D5BA3CB2}"/>
            </c:ext>
          </c:extLst>
        </c:ser>
        <c:ser>
          <c:idx val="8"/>
          <c:order val="8"/>
          <c:tx>
            <c:strRef>
              <c:f>'Area VIIa demersal trawl'!$B$170</c:f>
              <c:strCache>
                <c:ptCount val="1"/>
                <c:pt idx="0">
                  <c:v>Plaice</c:v>
                </c:pt>
              </c:strCache>
            </c:strRef>
          </c:tx>
          <c:spPr>
            <a:solidFill>
              <a:srgbClr val="169FDB"/>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trawl'!$C$170:$E$170</c:f>
              <c:numCache>
                <c:formatCode>0%</c:formatCode>
                <c:ptCount val="3"/>
                <c:pt idx="0">
                  <c:v>0</c:v>
                </c:pt>
                <c:pt idx="1">
                  <c:v>0</c:v>
                </c:pt>
                <c:pt idx="2">
                  <c:v>0</c:v>
                </c:pt>
              </c:numCache>
            </c:numRef>
          </c:val>
          <c:extLst>
            <c:ext xmlns:c16="http://schemas.microsoft.com/office/drawing/2014/chart" uri="{C3380CC4-5D6E-409C-BE32-E72D297353CC}">
              <c16:uniqueId val="{00000008-44CC-4688-831E-FFB6D5BA3CB2}"/>
            </c:ext>
          </c:extLst>
        </c:ser>
        <c:ser>
          <c:idx val="9"/>
          <c:order val="9"/>
          <c:tx>
            <c:strRef>
              <c:f>'Area VIIa demersal trawl'!$B$171</c:f>
              <c:strCache>
                <c:ptCount val="1"/>
                <c:pt idx="0">
                  <c:v>Thornback Ray</c:v>
                </c:pt>
              </c:strCache>
            </c:strRef>
          </c:tx>
          <c:spPr>
            <a:solidFill>
              <a:srgbClr val="E40D2C"/>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trawl'!$C$171:$E$171</c:f>
              <c:numCache>
                <c:formatCode>0%</c:formatCode>
                <c:ptCount val="3"/>
                <c:pt idx="0">
                  <c:v>0</c:v>
                </c:pt>
                <c:pt idx="1">
                  <c:v>0</c:v>
                </c:pt>
                <c:pt idx="2">
                  <c:v>0</c:v>
                </c:pt>
              </c:numCache>
            </c:numRef>
          </c:val>
          <c:extLst>
            <c:ext xmlns:c16="http://schemas.microsoft.com/office/drawing/2014/chart" uri="{C3380CC4-5D6E-409C-BE32-E72D297353CC}">
              <c16:uniqueId val="{00000009-44CC-4688-831E-FFB6D5BA3CB2}"/>
            </c:ext>
          </c:extLst>
        </c:ser>
        <c:ser>
          <c:idx val="10"/>
          <c:order val="10"/>
          <c:tx>
            <c:strRef>
              <c:f>'Area VIIa demersal trawl'!$B$172</c:f>
              <c:strCache>
                <c:ptCount val="1"/>
                <c:pt idx="0">
                  <c:v>Nephrops</c:v>
                </c:pt>
              </c:strCache>
            </c:strRef>
          </c:tx>
          <c:spPr>
            <a:solidFill>
              <a:srgbClr val="707271"/>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trawl'!$C$172:$E$172</c:f>
              <c:numCache>
                <c:formatCode>0%</c:formatCode>
                <c:ptCount val="3"/>
                <c:pt idx="0">
                  <c:v>0</c:v>
                </c:pt>
                <c:pt idx="1">
                  <c:v>0</c:v>
                </c:pt>
                <c:pt idx="2">
                  <c:v>0</c:v>
                </c:pt>
              </c:numCache>
            </c:numRef>
          </c:val>
          <c:extLst>
            <c:ext xmlns:c16="http://schemas.microsoft.com/office/drawing/2014/chart" uri="{C3380CC4-5D6E-409C-BE32-E72D297353CC}">
              <c16:uniqueId val="{0000000A-44CC-4688-831E-FFB6D5BA3CB2}"/>
            </c:ext>
          </c:extLst>
        </c:ser>
        <c:ser>
          <c:idx val="11"/>
          <c:order val="11"/>
          <c:tx>
            <c:strRef>
              <c:f>'Area VIIa demersal trawl'!$B$173</c:f>
              <c:strCache>
                <c:ptCount val="1"/>
                <c:pt idx="0">
                  <c:v>Others</c:v>
                </c:pt>
              </c:strCache>
            </c:strRef>
          </c:tx>
          <c:spPr>
            <a:solidFill>
              <a:srgbClr val="55585A"/>
            </a:solidFill>
            <a:ln>
              <a:solidFill>
                <a:srgbClr val="FFFFFF"/>
              </a:solidFill>
            </a:ln>
          </c:spPr>
          <c:invertIfNegative val="0"/>
          <c:cat>
            <c:strRef>
              <c:f>'Area VIIa demersal trawl'!$C$161:$E$161</c:f>
              <c:strCache>
                <c:ptCount val="3"/>
                <c:pt idx="0">
                  <c:v>Most
profitable
quartile</c:v>
                </c:pt>
                <c:pt idx="1">
                  <c:v>Middle 
two quartiles</c:v>
                </c:pt>
                <c:pt idx="2">
                  <c:v>Least
profitable
quartile</c:v>
                </c:pt>
              </c:strCache>
            </c:strRef>
          </c:cat>
          <c:val>
            <c:numRef>
              <c:f>'Area VIIa demersal trawl'!$C$173:$E$173</c:f>
              <c:numCache>
                <c:formatCode>0%</c:formatCode>
                <c:ptCount val="3"/>
                <c:pt idx="0">
                  <c:v>0</c:v>
                </c:pt>
                <c:pt idx="1">
                  <c:v>0</c:v>
                </c:pt>
                <c:pt idx="2">
                  <c:v>0</c:v>
                </c:pt>
              </c:numCache>
            </c:numRef>
          </c:val>
          <c:extLst>
            <c:ext xmlns:c16="http://schemas.microsoft.com/office/drawing/2014/chart" uri="{C3380CC4-5D6E-409C-BE32-E72D297353CC}">
              <c16:uniqueId val="{0000000B-44CC-4688-831E-FFB6D5BA3CB2}"/>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10m'!$K$48</c:f>
          <c:strCache>
            <c:ptCount val="1"/>
            <c:pt idx="0">
              <c:v>Operating profit per kW day at sea (£)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B0C3-4DA1-B499-6E5DE8517A6F}"/>
              </c:ext>
            </c:extLst>
          </c:dPt>
          <c:dPt>
            <c:idx val="10"/>
            <c:bubble3D val="0"/>
            <c:spPr>
              <a:ln w="57150">
                <a:solidFill>
                  <a:schemeClr val="accent3"/>
                </a:solidFill>
                <a:prstDash val="sysDot"/>
              </a:ln>
            </c:spPr>
            <c:extLst>
              <c:ext xmlns:c16="http://schemas.microsoft.com/office/drawing/2014/chart" uri="{C3380CC4-5D6E-409C-BE32-E72D297353CC}">
                <c16:uniqueId val="{00000003-B0C3-4DA1-B499-6E5DE8517A6F}"/>
              </c:ext>
            </c:extLst>
          </c:dPt>
          <c:cat>
            <c:numRef>
              <c:f>'Low activity under 10m'!$D$2:$N$2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'Low activity under 10m'!$D$24:$N$24</c:f>
              <c:numCache>
                <c:formatCode>#,##0.00</c:formatCode>
                <c:ptCount val="11"/>
                <c:pt idx="0">
                  <c:v>0.958852262109672</c:v>
                </c:pt>
                <c:pt idx="1">
                  <c:v>1.0921411812458599</c:v>
                </c:pt>
                <c:pt idx="2">
                  <c:v>3.5933508895699101E-2</c:v>
                </c:pt>
                <c:pt idx="3">
                  <c:v>0.71954830780650003</c:v>
                </c:pt>
                <c:pt idx="4">
                  <c:v>-0.53489240290759898</c:v>
                </c:pt>
                <c:pt idx="5">
                  <c:v>0.781465473176017</c:v>
                </c:pt>
                <c:pt idx="6">
                  <c:v>1.8628464420947299</c:v>
                </c:pt>
                <c:pt idx="7">
                  <c:v>0.28199379810862701</c:v>
                </c:pt>
                <c:pt idx="8">
                  <c:v>-0.30716358717570003</c:v>
                </c:pt>
                <c:pt idx="9">
                  <c:v>0.73207810616911195</c:v>
                </c:pt>
                <c:pt idx="10">
                  <c:v>-0.78893848104344311</c:v>
                </c:pt>
              </c:numCache>
            </c:numRef>
          </c:val>
          <c:smooth val="0"/>
          <c:extLst>
            <c:ext xmlns:c16="http://schemas.microsoft.com/office/drawing/2014/chart" uri="{C3380CC4-5D6E-409C-BE32-E72D297353CC}">
              <c16:uniqueId val="{00000004-B0C3-4DA1-B499-6E5DE8517A6F}"/>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10m'!$A$50</c:f>
          <c:strCache>
            <c:ptCount val="1"/>
            <c:pt idx="0">
              <c:v>Average price per tonne landed (£)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AA0B-4D34-B611-B7B55F44DC76}"/>
              </c:ext>
            </c:extLst>
          </c:dPt>
          <c:dPt>
            <c:idx val="10"/>
            <c:bubble3D val="0"/>
            <c:spPr>
              <a:ln w="57150">
                <a:solidFill>
                  <a:schemeClr val="accent4"/>
                </a:solidFill>
                <a:prstDash val="sysDot"/>
              </a:ln>
            </c:spPr>
            <c:extLst>
              <c:ext xmlns:c16="http://schemas.microsoft.com/office/drawing/2014/chart" uri="{C3380CC4-5D6E-409C-BE32-E72D297353CC}">
                <c16:uniqueId val="{00000003-AA0B-4D34-B611-B7B55F44DC76}"/>
              </c:ext>
            </c:extLst>
          </c:dPt>
          <c:cat>
            <c:numRef>
              <c:f>'Low activity under 10m'!$D$2:$M$2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under 10m'!$D$20:$N$20</c:f>
              <c:numCache>
                <c:formatCode>#,##0</c:formatCode>
                <c:ptCount val="11"/>
                <c:pt idx="0">
                  <c:v>2537</c:v>
                </c:pt>
                <c:pt idx="1">
                  <c:v>2940</c:v>
                </c:pt>
                <c:pt idx="2">
                  <c:v>2840</c:v>
                </c:pt>
                <c:pt idx="3">
                  <c:v>2535</c:v>
                </c:pt>
                <c:pt idx="4">
                  <c:v>2670</c:v>
                </c:pt>
                <c:pt idx="5">
                  <c:v>2869</c:v>
                </c:pt>
                <c:pt idx="6">
                  <c:v>3200</c:v>
                </c:pt>
                <c:pt idx="7">
                  <c:v>3238</c:v>
                </c:pt>
                <c:pt idx="8">
                  <c:v>3241</c:v>
                </c:pt>
                <c:pt idx="9">
                  <c:v>2987</c:v>
                </c:pt>
                <c:pt idx="10">
                  <c:v>3362</c:v>
                </c:pt>
              </c:numCache>
            </c:numRef>
          </c:val>
          <c:smooth val="0"/>
          <c:extLst>
            <c:ext xmlns:c16="http://schemas.microsoft.com/office/drawing/2014/chart" uri="{C3380CC4-5D6E-409C-BE32-E72D297353CC}">
              <c16:uniqueId val="{00000004-AA0B-4D34-B611-B7B55F44DC76}"/>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10m'!$K$62</c:f>
          <c:strCache>
            <c:ptCount val="1"/>
            <c:pt idx="0">
              <c:v>Average annual operating profit per vessel (£'000)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2072-45D6-83C8-7946D2E4C9AE}"/>
              </c:ext>
            </c:extLst>
          </c:dPt>
          <c:dPt>
            <c:idx val="10"/>
            <c:bubble3D val="0"/>
            <c:spPr>
              <a:ln w="57150">
                <a:solidFill>
                  <a:schemeClr val="accent5"/>
                </a:solidFill>
                <a:prstDash val="sysDot"/>
              </a:ln>
            </c:spPr>
            <c:extLst>
              <c:ext xmlns:c16="http://schemas.microsoft.com/office/drawing/2014/chart" uri="{C3380CC4-5D6E-409C-BE32-E72D297353CC}">
                <c16:uniqueId val="{00000003-2072-45D6-83C8-7946D2E4C9AE}"/>
              </c:ext>
            </c:extLst>
          </c:dPt>
          <c:cat>
            <c:numRef>
              <c:f>'Low activity under 10m'!$D$2:$M$2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under 10m'!$D$37:$N$37</c:f>
              <c:numCache>
                <c:formatCode>#,##0.0</c:formatCode>
                <c:ptCount val="11"/>
                <c:pt idx="0">
                  <c:v>0.8</c:v>
                </c:pt>
                <c:pt idx="1">
                  <c:v>0.9</c:v>
                </c:pt>
                <c:pt idx="3">
                  <c:v>0.7</c:v>
                </c:pt>
                <c:pt idx="4">
                  <c:v>-0.6</c:v>
                </c:pt>
                <c:pt idx="5">
                  <c:v>0.7</c:v>
                </c:pt>
                <c:pt idx="6">
                  <c:v>1.2</c:v>
                </c:pt>
                <c:pt idx="7">
                  <c:v>0.2</c:v>
                </c:pt>
                <c:pt idx="8">
                  <c:v>-0.2</c:v>
                </c:pt>
                <c:pt idx="9">
                  <c:v>0.5</c:v>
                </c:pt>
                <c:pt idx="10">
                  <c:v>-0.5</c:v>
                </c:pt>
              </c:numCache>
            </c:numRef>
          </c:val>
          <c:smooth val="0"/>
          <c:extLst>
            <c:ext xmlns:c16="http://schemas.microsoft.com/office/drawing/2014/chart" uri="{C3380CC4-5D6E-409C-BE32-E72D297353CC}">
              <c16:uniqueId val="{00000004-2072-45D6-83C8-7946D2E4C9AE}"/>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under 10m'!$A$76</c:f>
          <c:strCache>
            <c:ptCount val="1"/>
            <c:pt idx="0">
              <c:v>Top 5 landed species by volume in 2020
Low activity under 10m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648C2E"/>
              </a:solidFill>
              <a:ln>
                <a:solidFill>
                  <a:srgbClr val="FFFFFF"/>
                </a:solidFill>
              </a:ln>
            </c:spPr>
            <c:extLst>
              <c:ext xmlns:c16="http://schemas.microsoft.com/office/drawing/2014/chart" uri="{C3380CC4-5D6E-409C-BE32-E72D297353CC}">
                <c16:uniqueId val="{00000001-36A3-4F11-A27D-1C7050FB096C}"/>
              </c:ext>
            </c:extLst>
          </c:dPt>
          <c:dPt>
            <c:idx val="1"/>
            <c:bubble3D val="0"/>
            <c:spPr>
              <a:solidFill>
                <a:srgbClr val="E84A38"/>
              </a:solidFill>
              <a:ln>
                <a:solidFill>
                  <a:srgbClr val="FFFFFF"/>
                </a:solidFill>
              </a:ln>
            </c:spPr>
            <c:extLst>
              <c:ext xmlns:c16="http://schemas.microsoft.com/office/drawing/2014/chart" uri="{C3380CC4-5D6E-409C-BE32-E72D297353CC}">
                <c16:uniqueId val="{00000003-36A3-4F11-A27D-1C7050FB096C}"/>
              </c:ext>
            </c:extLst>
          </c:dPt>
          <c:dPt>
            <c:idx val="2"/>
            <c:bubble3D val="0"/>
            <c:spPr>
              <a:solidFill>
                <a:srgbClr val="C1D119"/>
              </a:solidFill>
              <a:ln>
                <a:solidFill>
                  <a:srgbClr val="FFFFFF"/>
                </a:solidFill>
              </a:ln>
            </c:spPr>
            <c:extLst>
              <c:ext xmlns:c16="http://schemas.microsoft.com/office/drawing/2014/chart" uri="{C3380CC4-5D6E-409C-BE32-E72D297353CC}">
                <c16:uniqueId val="{00000005-36A3-4F11-A27D-1C7050FB096C}"/>
              </c:ext>
            </c:extLst>
          </c:dPt>
          <c:dPt>
            <c:idx val="3"/>
            <c:bubble3D val="0"/>
            <c:spPr>
              <a:solidFill>
                <a:srgbClr val="2273B9"/>
              </a:solidFill>
              <a:ln>
                <a:solidFill>
                  <a:srgbClr val="FFFFFF"/>
                </a:solidFill>
              </a:ln>
            </c:spPr>
            <c:extLst>
              <c:ext xmlns:c16="http://schemas.microsoft.com/office/drawing/2014/chart" uri="{C3380CC4-5D6E-409C-BE32-E72D297353CC}">
                <c16:uniqueId val="{00000007-36A3-4F11-A27D-1C7050FB096C}"/>
              </c:ext>
            </c:extLst>
          </c:dPt>
          <c:dPt>
            <c:idx val="4"/>
            <c:bubble3D val="0"/>
            <c:spPr>
              <a:solidFill>
                <a:srgbClr val="E87308"/>
              </a:solidFill>
              <a:ln>
                <a:solidFill>
                  <a:srgbClr val="FFFFFF"/>
                </a:solidFill>
              </a:ln>
            </c:spPr>
            <c:extLst>
              <c:ext xmlns:c16="http://schemas.microsoft.com/office/drawing/2014/chart" uri="{C3380CC4-5D6E-409C-BE32-E72D297353CC}">
                <c16:uniqueId val="{00000009-36A3-4F11-A27D-1C7050FB096C}"/>
              </c:ext>
            </c:extLst>
          </c:dPt>
          <c:dPt>
            <c:idx val="5"/>
            <c:bubble3D val="0"/>
            <c:spPr>
              <a:solidFill>
                <a:srgbClr val="55585A"/>
              </a:solidFill>
              <a:ln>
                <a:solidFill>
                  <a:srgbClr val="FFFFFF"/>
                </a:solidFill>
              </a:ln>
            </c:spPr>
            <c:extLst>
              <c:ext xmlns:c16="http://schemas.microsoft.com/office/drawing/2014/chart" uri="{C3380CC4-5D6E-409C-BE32-E72D297353CC}">
                <c16:uniqueId val="{0000000B-36A3-4F11-A27D-1C7050FB096C}"/>
              </c:ext>
            </c:extLst>
          </c:dPt>
          <c:cat>
            <c:strRef>
              <c:f>'Low activity under 10m'!$B$77:$B$82</c:f>
              <c:strCache>
                <c:ptCount val="6"/>
                <c:pt idx="0">
                  <c:v>Mackerel - 27.3%</c:v>
                </c:pt>
                <c:pt idx="1">
                  <c:v>Brown Crab - 10.5%</c:v>
                </c:pt>
                <c:pt idx="2">
                  <c:v>Velvet Crab - 9.1%</c:v>
                </c:pt>
                <c:pt idx="3">
                  <c:v>Lobsters - 8.2%</c:v>
                </c:pt>
                <c:pt idx="4">
                  <c:v>Bass - 6.1%</c:v>
                </c:pt>
                <c:pt idx="5">
                  <c:v>Others - 38.8%</c:v>
                </c:pt>
              </c:strCache>
            </c:strRef>
          </c:cat>
          <c:val>
            <c:numRef>
              <c:f>'Low activity under 10m'!$C$77:$C$82</c:f>
              <c:numCache>
                <c:formatCode>0.0%</c:formatCode>
                <c:ptCount val="6"/>
                <c:pt idx="0">
                  <c:v>0.2728976168008716</c:v>
                </c:pt>
                <c:pt idx="1">
                  <c:v>0.10502901114816497</c:v>
                </c:pt>
                <c:pt idx="2">
                  <c:v>9.0854087985381249E-2</c:v>
                </c:pt>
                <c:pt idx="3">
                  <c:v>8.1546081392217445E-2</c:v>
                </c:pt>
                <c:pt idx="4">
                  <c:v>6.1499482697998875E-2</c:v>
                </c:pt>
                <c:pt idx="5">
                  <c:v>0.38817371997536587</c:v>
                </c:pt>
              </c:numCache>
            </c:numRef>
          </c:val>
          <c:extLst>
            <c:ext xmlns:c16="http://schemas.microsoft.com/office/drawing/2014/chart" uri="{C3380CC4-5D6E-409C-BE32-E72D297353CC}">
              <c16:uniqueId val="{0000000C-36A3-4F11-A27D-1C7050FB096C}"/>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under 10m'!$F$76</c:f>
          <c:strCache>
            <c:ptCount val="1"/>
            <c:pt idx="0">
              <c:v>Top 5 landed species by value in 2020
Low activity under 10m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DC77-4274-9A15-B138196D5BED}"/>
              </c:ext>
            </c:extLst>
          </c:dPt>
          <c:dPt>
            <c:idx val="1"/>
            <c:bubble3D val="0"/>
            <c:spPr>
              <a:solidFill>
                <a:srgbClr val="E87308"/>
              </a:solidFill>
              <a:ln>
                <a:solidFill>
                  <a:srgbClr val="FFFFFF"/>
                </a:solidFill>
              </a:ln>
            </c:spPr>
            <c:extLst>
              <c:ext xmlns:c16="http://schemas.microsoft.com/office/drawing/2014/chart" uri="{C3380CC4-5D6E-409C-BE32-E72D297353CC}">
                <c16:uniqueId val="{00000003-DC77-4274-9A15-B138196D5BED}"/>
              </c:ext>
            </c:extLst>
          </c:dPt>
          <c:dPt>
            <c:idx val="2"/>
            <c:bubble3D val="0"/>
            <c:spPr>
              <a:solidFill>
                <a:srgbClr val="648C2E"/>
              </a:solidFill>
              <a:ln>
                <a:solidFill>
                  <a:srgbClr val="FFFFFF"/>
                </a:solidFill>
              </a:ln>
            </c:spPr>
            <c:extLst>
              <c:ext xmlns:c16="http://schemas.microsoft.com/office/drawing/2014/chart" uri="{C3380CC4-5D6E-409C-BE32-E72D297353CC}">
                <c16:uniqueId val="{00000005-DC77-4274-9A15-B138196D5BED}"/>
              </c:ext>
            </c:extLst>
          </c:dPt>
          <c:dPt>
            <c:idx val="3"/>
            <c:bubble3D val="0"/>
            <c:spPr>
              <a:solidFill>
                <a:srgbClr val="C1D119"/>
              </a:solidFill>
              <a:ln>
                <a:solidFill>
                  <a:srgbClr val="FFFFFF"/>
                </a:solidFill>
              </a:ln>
            </c:spPr>
            <c:extLst>
              <c:ext xmlns:c16="http://schemas.microsoft.com/office/drawing/2014/chart" uri="{C3380CC4-5D6E-409C-BE32-E72D297353CC}">
                <c16:uniqueId val="{00000007-DC77-4274-9A15-B138196D5BED}"/>
              </c:ext>
            </c:extLst>
          </c:dPt>
          <c:dPt>
            <c:idx val="4"/>
            <c:bubble3D val="0"/>
            <c:spPr>
              <a:solidFill>
                <a:srgbClr val="E84A38"/>
              </a:solidFill>
              <a:ln>
                <a:solidFill>
                  <a:srgbClr val="FFFFFF"/>
                </a:solidFill>
              </a:ln>
            </c:spPr>
            <c:extLst>
              <c:ext xmlns:c16="http://schemas.microsoft.com/office/drawing/2014/chart" uri="{C3380CC4-5D6E-409C-BE32-E72D297353CC}">
                <c16:uniqueId val="{00000009-DC77-4274-9A15-B138196D5BED}"/>
              </c:ext>
            </c:extLst>
          </c:dPt>
          <c:dPt>
            <c:idx val="5"/>
            <c:bubble3D val="0"/>
            <c:spPr>
              <a:solidFill>
                <a:srgbClr val="55585A"/>
              </a:solidFill>
              <a:ln>
                <a:solidFill>
                  <a:srgbClr val="FFFFFF"/>
                </a:solidFill>
              </a:ln>
            </c:spPr>
            <c:extLst>
              <c:ext xmlns:c16="http://schemas.microsoft.com/office/drawing/2014/chart" uri="{C3380CC4-5D6E-409C-BE32-E72D297353CC}">
                <c16:uniqueId val="{0000000B-DC77-4274-9A15-B138196D5BED}"/>
              </c:ext>
            </c:extLst>
          </c:dPt>
          <c:cat>
            <c:strRef>
              <c:f>'Low activity under 10m'!$G$77:$G$82</c:f>
              <c:strCache>
                <c:ptCount val="6"/>
                <c:pt idx="0">
                  <c:v>Lobsters - 34.0%</c:v>
                </c:pt>
                <c:pt idx="1">
                  <c:v>Bass - 16.7%</c:v>
                </c:pt>
                <c:pt idx="2">
                  <c:v>Mackerel - 10.4%</c:v>
                </c:pt>
                <c:pt idx="3">
                  <c:v>Velvet Crab - 6.4%</c:v>
                </c:pt>
                <c:pt idx="4">
                  <c:v>Brown Crab - 5.7%</c:v>
                </c:pt>
                <c:pt idx="5">
                  <c:v>Others - 26.8%</c:v>
                </c:pt>
              </c:strCache>
            </c:strRef>
          </c:cat>
          <c:val>
            <c:numRef>
              <c:f>'Low activity under 10m'!$H$77:$H$82</c:f>
              <c:numCache>
                <c:formatCode>0.0%</c:formatCode>
                <c:ptCount val="6"/>
                <c:pt idx="0">
                  <c:v>0.34013909010129417</c:v>
                </c:pt>
                <c:pt idx="1">
                  <c:v>0.16682124782524657</c:v>
                </c:pt>
                <c:pt idx="2">
                  <c:v>0.10363462339229733</c:v>
                </c:pt>
                <c:pt idx="3">
                  <c:v>6.4172037522911632E-2</c:v>
                </c:pt>
                <c:pt idx="4">
                  <c:v>5.6970830885843045E-2</c:v>
                </c:pt>
                <c:pt idx="5">
                  <c:v>0.26826217027240717</c:v>
                </c:pt>
              </c:numCache>
            </c:numRef>
          </c:val>
          <c:extLst>
            <c:ext xmlns:c16="http://schemas.microsoft.com/office/drawing/2014/chart" uri="{C3380CC4-5D6E-409C-BE32-E72D297353CC}">
              <c16:uniqueId val="{0000000C-DC77-4274-9A15-B138196D5BED}"/>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under 10m'!$K$77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'Low activity under 10m'!$C$92</c:f>
              <c:strCache>
                <c:ptCount val="1"/>
                <c:pt idx="0">
                  <c:v>Lobsters</c:v>
                </c:pt>
              </c:strCache>
            </c:strRef>
          </c:tx>
          <c:spPr>
            <a:solidFill>
              <a:srgbClr val="2273B9"/>
            </a:solidFill>
            <a:ln>
              <a:solidFill>
                <a:srgbClr val="FFFFFF"/>
              </a:solidFill>
            </a:ln>
          </c:spPr>
          <c:invertIfNegative val="0"/>
          <c:cat>
            <c:numRef>
              <c:f>'Low activity under 10m'!$D$91:$M$91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under 10m'!$D$92:$M$92</c:f>
              <c:numCache>
                <c:formatCode>0%</c:formatCode>
                <c:ptCount val="10"/>
                <c:pt idx="0">
                  <c:v>0.29335423477899963</c:v>
                </c:pt>
                <c:pt idx="1">
                  <c:v>0.29343326881468784</c:v>
                </c:pt>
                <c:pt idx="2">
                  <c:v>0.32215767914698457</c:v>
                </c:pt>
                <c:pt idx="3">
                  <c:v>0.31564677347995279</c:v>
                </c:pt>
                <c:pt idx="4">
                  <c:v>0.32300237406892501</c:v>
                </c:pt>
                <c:pt idx="5">
                  <c:v>0.32044162452095221</c:v>
                </c:pt>
                <c:pt idx="6">
                  <c:v>0.30351205995581892</c:v>
                </c:pt>
                <c:pt idx="7">
                  <c:v>0.32845995554277174</c:v>
                </c:pt>
                <c:pt idx="8">
                  <c:v>0.34013909010129417</c:v>
                </c:pt>
                <c:pt idx="9">
                  <c:v>0.33396728110518381</c:v>
                </c:pt>
              </c:numCache>
            </c:numRef>
          </c:val>
          <c:extLst>
            <c:ext xmlns:c16="http://schemas.microsoft.com/office/drawing/2014/chart" uri="{C3380CC4-5D6E-409C-BE32-E72D297353CC}">
              <c16:uniqueId val="{00000000-ABE2-4355-8C4E-9B8EC278267D}"/>
            </c:ext>
          </c:extLst>
        </c:ser>
        <c:ser>
          <c:idx val="1"/>
          <c:order val="1"/>
          <c:tx>
            <c:strRef>
              <c:f>'Low activity under 10m'!$C$93</c:f>
              <c:strCache>
                <c:ptCount val="1"/>
                <c:pt idx="0">
                  <c:v>Bass</c:v>
                </c:pt>
              </c:strCache>
            </c:strRef>
          </c:tx>
          <c:spPr>
            <a:solidFill>
              <a:srgbClr val="E87308"/>
            </a:solidFill>
            <a:ln>
              <a:solidFill>
                <a:srgbClr val="FFFFFF"/>
              </a:solidFill>
            </a:ln>
          </c:spPr>
          <c:invertIfNegative val="0"/>
          <c:cat>
            <c:numRef>
              <c:f>'Low activity under 10m'!$D$91:$M$91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under 10m'!$D$93:$M$93</c:f>
              <c:numCache>
                <c:formatCode>0%</c:formatCode>
                <c:ptCount val="10"/>
                <c:pt idx="0">
                  <c:v>0.12774673914166076</c:v>
                </c:pt>
                <c:pt idx="1">
                  <c:v>0.1330212865917296</c:v>
                </c:pt>
                <c:pt idx="2">
                  <c:v>0.14574882516785168</c:v>
                </c:pt>
                <c:pt idx="3">
                  <c:v>0.11659362208693586</c:v>
                </c:pt>
                <c:pt idx="4">
                  <c:v>0.11974627835451782</c:v>
                </c:pt>
                <c:pt idx="5">
                  <c:v>0.13409781009003854</c:v>
                </c:pt>
                <c:pt idx="6">
                  <c:v>0.13512982286896116</c:v>
                </c:pt>
                <c:pt idx="7">
                  <c:v>0.13053038659967903</c:v>
                </c:pt>
                <c:pt idx="8">
                  <c:v>0.16682124782524657</c:v>
                </c:pt>
                <c:pt idx="9">
                  <c:v>0.1709087965004476</c:v>
                </c:pt>
              </c:numCache>
            </c:numRef>
          </c:val>
          <c:extLst>
            <c:ext xmlns:c16="http://schemas.microsoft.com/office/drawing/2014/chart" uri="{C3380CC4-5D6E-409C-BE32-E72D297353CC}">
              <c16:uniqueId val="{00000001-ABE2-4355-8C4E-9B8EC278267D}"/>
            </c:ext>
          </c:extLst>
        </c:ser>
        <c:ser>
          <c:idx val="2"/>
          <c:order val="2"/>
          <c:tx>
            <c:strRef>
              <c:f>'Low activity under 10m'!$C$94</c:f>
              <c:strCache>
                <c:ptCount val="1"/>
                <c:pt idx="0">
                  <c:v>Mackerel</c:v>
                </c:pt>
              </c:strCache>
            </c:strRef>
          </c:tx>
          <c:spPr>
            <a:solidFill>
              <a:srgbClr val="648C2E"/>
            </a:solidFill>
            <a:ln>
              <a:solidFill>
                <a:srgbClr val="FFFFFF"/>
              </a:solidFill>
            </a:ln>
          </c:spPr>
          <c:invertIfNegative val="0"/>
          <c:cat>
            <c:numRef>
              <c:f>'Low activity under 10m'!$D$91:$M$91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under 10m'!$D$94:$M$94</c:f>
              <c:numCache>
                <c:formatCode>0%</c:formatCode>
                <c:ptCount val="10"/>
                <c:pt idx="0">
                  <c:v>9.7310143062375426E-2</c:v>
                </c:pt>
                <c:pt idx="1">
                  <c:v>9.0618405339778996E-2</c:v>
                </c:pt>
                <c:pt idx="2">
                  <c:v>8.0525130189593175E-2</c:v>
                </c:pt>
                <c:pt idx="3">
                  <c:v>0.11712173932620713</c:v>
                </c:pt>
                <c:pt idx="4">
                  <c:v>9.9230238912155877E-2</c:v>
                </c:pt>
                <c:pt idx="5">
                  <c:v>9.8840598300084612E-2</c:v>
                </c:pt>
                <c:pt idx="6">
                  <c:v>0.12223883926264134</c:v>
                </c:pt>
                <c:pt idx="7">
                  <c:v>0.11951612832030556</c:v>
                </c:pt>
                <c:pt idx="8">
                  <c:v>0.10363462339229733</c:v>
                </c:pt>
                <c:pt idx="9">
                  <c:v>0.12363517621626142</c:v>
                </c:pt>
              </c:numCache>
            </c:numRef>
          </c:val>
          <c:extLst>
            <c:ext xmlns:c16="http://schemas.microsoft.com/office/drawing/2014/chart" uri="{C3380CC4-5D6E-409C-BE32-E72D297353CC}">
              <c16:uniqueId val="{00000002-ABE2-4355-8C4E-9B8EC278267D}"/>
            </c:ext>
          </c:extLst>
        </c:ser>
        <c:ser>
          <c:idx val="3"/>
          <c:order val="3"/>
          <c:tx>
            <c:strRef>
              <c:f>'Low activity under 10m'!$C$95</c:f>
              <c:strCache>
                <c:ptCount val="1"/>
                <c:pt idx="0">
                  <c:v>Velvet Crab</c:v>
                </c:pt>
              </c:strCache>
            </c:strRef>
          </c:tx>
          <c:spPr>
            <a:solidFill>
              <a:srgbClr val="C1D119"/>
            </a:solidFill>
            <a:ln>
              <a:solidFill>
                <a:srgbClr val="FFFFFF"/>
              </a:solidFill>
            </a:ln>
          </c:spPr>
          <c:invertIfNegative val="0"/>
          <c:cat>
            <c:numRef>
              <c:f>'Low activity under 10m'!$D$91:$M$91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under 10m'!$D$95:$M$95</c:f>
              <c:numCache>
                <c:formatCode>0%</c:formatCode>
                <c:ptCount val="10"/>
                <c:pt idx="1">
                  <c:v>6.7196007709255934E-2</c:v>
                </c:pt>
                <c:pt idx="2">
                  <c:v>6.1977925029117517E-2</c:v>
                </c:pt>
                <c:pt idx="4">
                  <c:v>6.4297131228540291E-2</c:v>
                </c:pt>
                <c:pt idx="6">
                  <c:v>5.5254502516497869E-2</c:v>
                </c:pt>
                <c:pt idx="7">
                  <c:v>6.0974734070673733E-2</c:v>
                </c:pt>
                <c:pt idx="8">
                  <c:v>6.4172037522911632E-2</c:v>
                </c:pt>
                <c:pt idx="9">
                  <c:v>5.7199339878513174E-2</c:v>
                </c:pt>
              </c:numCache>
            </c:numRef>
          </c:val>
          <c:extLst>
            <c:ext xmlns:c16="http://schemas.microsoft.com/office/drawing/2014/chart" uri="{C3380CC4-5D6E-409C-BE32-E72D297353CC}">
              <c16:uniqueId val="{00000003-ABE2-4355-8C4E-9B8EC278267D}"/>
            </c:ext>
          </c:extLst>
        </c:ser>
        <c:ser>
          <c:idx val="4"/>
          <c:order val="4"/>
          <c:tx>
            <c:strRef>
              <c:f>'Low activity under 10m'!$C$96</c:f>
              <c:strCache>
                <c:ptCount val="1"/>
                <c:pt idx="0">
                  <c:v>Brown Crab</c:v>
                </c:pt>
              </c:strCache>
            </c:strRef>
          </c:tx>
          <c:spPr>
            <a:solidFill>
              <a:srgbClr val="E84A38"/>
            </a:solidFill>
            <a:ln>
              <a:solidFill>
                <a:srgbClr val="FFFFFF"/>
              </a:solidFill>
            </a:ln>
          </c:spPr>
          <c:invertIfNegative val="0"/>
          <c:cat>
            <c:numRef>
              <c:f>'Low activity under 10m'!$D$91:$M$91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under 10m'!$D$96:$M$96</c:f>
              <c:numCache>
                <c:formatCode>0%</c:formatCode>
                <c:ptCount val="10"/>
                <c:pt idx="0">
                  <c:v>6.3292195628568929E-2</c:v>
                </c:pt>
                <c:pt idx="1">
                  <c:v>8.3152634855401447E-2</c:v>
                </c:pt>
                <c:pt idx="2">
                  <c:v>6.9446667693875613E-2</c:v>
                </c:pt>
                <c:pt idx="3">
                  <c:v>6.8175251827823274E-2</c:v>
                </c:pt>
                <c:pt idx="5">
                  <c:v>6.0913956944730507E-2</c:v>
                </c:pt>
                <c:pt idx="6">
                  <c:v>6.6829999046513988E-2</c:v>
                </c:pt>
                <c:pt idx="7">
                  <c:v>6.5367596698166955E-2</c:v>
                </c:pt>
                <c:pt idx="8">
                  <c:v>5.6970830885843045E-2</c:v>
                </c:pt>
                <c:pt idx="9">
                  <c:v>5.6214387756016476E-2</c:v>
                </c:pt>
              </c:numCache>
            </c:numRef>
          </c:val>
          <c:extLst>
            <c:ext xmlns:c16="http://schemas.microsoft.com/office/drawing/2014/chart" uri="{C3380CC4-5D6E-409C-BE32-E72D297353CC}">
              <c16:uniqueId val="{00000004-ABE2-4355-8C4E-9B8EC278267D}"/>
            </c:ext>
          </c:extLst>
        </c:ser>
        <c:ser>
          <c:idx val="5"/>
          <c:order val="5"/>
          <c:tx>
            <c:strRef>
              <c:f>'Low activity under 10m'!$C$97</c:f>
              <c:strCache>
                <c:ptCount val="1"/>
                <c:pt idx="0">
                  <c:v>Sole</c:v>
                </c:pt>
              </c:strCache>
            </c:strRef>
          </c:tx>
          <c:spPr>
            <a:solidFill>
              <a:srgbClr val="0F9AA9"/>
            </a:solidFill>
            <a:ln>
              <a:solidFill>
                <a:srgbClr val="FFFFFF"/>
              </a:solidFill>
            </a:ln>
          </c:spPr>
          <c:invertIfNegative val="0"/>
          <c:cat>
            <c:numRef>
              <c:f>'Low activity under 10m'!$D$91:$M$91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under 10m'!$D$97:$M$97</c:f>
              <c:numCache>
                <c:formatCode>0%</c:formatCode>
                <c:ptCount val="10"/>
                <c:pt idx="0">
                  <c:v>6.3859940022927927E-2</c:v>
                </c:pt>
                <c:pt idx="3">
                  <c:v>5.9652013408147721E-2</c:v>
                </c:pt>
                <c:pt idx="4">
                  <c:v>6.0061046148234445E-2</c:v>
                </c:pt>
                <c:pt idx="5">
                  <c:v>5.6541406390713041E-2</c:v>
                </c:pt>
              </c:numCache>
            </c:numRef>
          </c:val>
          <c:extLst>
            <c:ext xmlns:c16="http://schemas.microsoft.com/office/drawing/2014/chart" uri="{C3380CC4-5D6E-409C-BE32-E72D297353CC}">
              <c16:uniqueId val="{00000005-ABE2-4355-8C4E-9B8EC278267D}"/>
            </c:ext>
          </c:extLst>
        </c:ser>
        <c:ser>
          <c:idx val="6"/>
          <c:order val="6"/>
          <c:tx>
            <c:strRef>
              <c:f>'Low activity under 10m'!$C$98</c:f>
              <c:strCache>
                <c:ptCount val="1"/>
                <c:pt idx="0">
                  <c:v>Others</c:v>
                </c:pt>
              </c:strCache>
            </c:strRef>
          </c:tx>
          <c:spPr>
            <a:solidFill>
              <a:srgbClr val="55585A"/>
            </a:solidFill>
            <a:ln>
              <a:solidFill>
                <a:srgbClr val="FFFFFF"/>
              </a:solidFill>
            </a:ln>
          </c:spPr>
          <c:invertIfNegative val="0"/>
          <c:cat>
            <c:numRef>
              <c:f>'Low activity under 10m'!$D$91:$M$91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under 10m'!$D$98:$M$98</c:f>
              <c:numCache>
                <c:formatCode>0%</c:formatCode>
                <c:ptCount val="10"/>
                <c:pt idx="0">
                  <c:v>0.35443674736546732</c:v>
                </c:pt>
                <c:pt idx="1">
                  <c:v>0.33257839668914613</c:v>
                </c:pt>
                <c:pt idx="2">
                  <c:v>0.32014377277257744</c:v>
                </c:pt>
                <c:pt idx="3">
                  <c:v>0.32281059987093325</c:v>
                </c:pt>
                <c:pt idx="4">
                  <c:v>0.33366293128762659</c:v>
                </c:pt>
                <c:pt idx="5">
                  <c:v>0.32916460375348106</c:v>
                </c:pt>
                <c:pt idx="6">
                  <c:v>0.31703477634956673</c:v>
                </c:pt>
                <c:pt idx="7">
                  <c:v>0.29515119876840296</c:v>
                </c:pt>
                <c:pt idx="8">
                  <c:v>0.26826217027240729</c:v>
                </c:pt>
                <c:pt idx="9">
                  <c:v>0.25807501854357751</c:v>
                </c:pt>
              </c:numCache>
            </c:numRef>
          </c:val>
          <c:extLst>
            <c:ext xmlns:c16="http://schemas.microsoft.com/office/drawing/2014/chart" uri="{C3380CC4-5D6E-409C-BE32-E72D297353CC}">
              <c16:uniqueId val="{00000006-ABE2-4355-8C4E-9B8EC278267D}"/>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'Low activity under 10m'!$B$162</c:f>
              <c:strCache>
                <c:ptCount val="1"/>
                <c:pt idx="0">
                  <c:v>Mackerel</c:v>
                </c:pt>
              </c:strCache>
            </c:strRef>
          </c:tx>
          <c:spPr>
            <a:solidFill>
              <a:srgbClr val="648C2E"/>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10m'!$C$162:$E$162</c:f>
              <c:numCache>
                <c:formatCode>0%</c:formatCode>
                <c:ptCount val="3"/>
                <c:pt idx="0">
                  <c:v>0.17311938865487861</c:v>
                </c:pt>
                <c:pt idx="1">
                  <c:v>0.42851367851926275</c:v>
                </c:pt>
                <c:pt idx="2">
                  <c:v>0.24077373835653068</c:v>
                </c:pt>
              </c:numCache>
            </c:numRef>
          </c:val>
          <c:extLst>
            <c:ext xmlns:c16="http://schemas.microsoft.com/office/drawing/2014/chart" uri="{C3380CC4-5D6E-409C-BE32-E72D297353CC}">
              <c16:uniqueId val="{00000000-2F80-4BBF-871F-C6405A5E10E9}"/>
            </c:ext>
          </c:extLst>
        </c:ser>
        <c:ser>
          <c:idx val="1"/>
          <c:order val="1"/>
          <c:tx>
            <c:strRef>
              <c:f>'Low activity under 10m'!$B$163</c:f>
              <c:strCache>
                <c:ptCount val="1"/>
                <c:pt idx="0">
                  <c:v>Velvet Crab</c:v>
                </c:pt>
              </c:strCache>
            </c:strRef>
          </c:tx>
          <c:spPr>
            <a:solidFill>
              <a:srgbClr val="C1D119"/>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10m'!$C$163:$E$163</c:f>
              <c:numCache>
                <c:formatCode>0%</c:formatCode>
                <c:ptCount val="3"/>
                <c:pt idx="0">
                  <c:v>7.5119908984822584E-2</c:v>
                </c:pt>
                <c:pt idx="1">
                  <c:v>0.13359828234003085</c:v>
                </c:pt>
                <c:pt idx="2">
                  <c:v>7.5253623472164147E-2</c:v>
                </c:pt>
              </c:numCache>
            </c:numRef>
          </c:val>
          <c:extLst>
            <c:ext xmlns:c16="http://schemas.microsoft.com/office/drawing/2014/chart" uri="{C3380CC4-5D6E-409C-BE32-E72D297353CC}">
              <c16:uniqueId val="{00000001-2F80-4BBF-871F-C6405A5E10E9}"/>
            </c:ext>
          </c:extLst>
        </c:ser>
        <c:ser>
          <c:idx val="2"/>
          <c:order val="2"/>
          <c:tx>
            <c:strRef>
              <c:f>'Low activity under 10m'!$B$164</c:f>
              <c:strCache>
                <c:ptCount val="1"/>
                <c:pt idx="0">
                  <c:v>Brown Crab</c:v>
                </c:pt>
              </c:strCache>
            </c:strRef>
          </c:tx>
          <c:spPr>
            <a:solidFill>
              <a:srgbClr val="E84A38"/>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10m'!$C$164:$E$164</c:f>
              <c:numCache>
                <c:formatCode>0%</c:formatCode>
                <c:ptCount val="3"/>
                <c:pt idx="0">
                  <c:v>0.17706397710707858</c:v>
                </c:pt>
                <c:pt idx="1">
                  <c:v>9.4696238824397608E-2</c:v>
                </c:pt>
                <c:pt idx="2">
                  <c:v>9.293044309591765E-2</c:v>
                </c:pt>
              </c:numCache>
            </c:numRef>
          </c:val>
          <c:extLst>
            <c:ext xmlns:c16="http://schemas.microsoft.com/office/drawing/2014/chart" uri="{C3380CC4-5D6E-409C-BE32-E72D297353CC}">
              <c16:uniqueId val="{00000002-2F80-4BBF-871F-C6405A5E10E9}"/>
            </c:ext>
          </c:extLst>
        </c:ser>
        <c:ser>
          <c:idx val="3"/>
          <c:order val="3"/>
          <c:tx>
            <c:strRef>
              <c:f>'Low activity under 10m'!$B$165</c:f>
              <c:strCache>
                <c:ptCount val="1"/>
                <c:pt idx="0">
                  <c:v>Lobsters</c:v>
                </c:pt>
              </c:strCache>
            </c:strRef>
          </c:tx>
          <c:spPr>
            <a:solidFill>
              <a:srgbClr val="2273B9"/>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10m'!$C$165:$E$165</c:f>
              <c:numCache>
                <c:formatCode>0%</c:formatCode>
                <c:ptCount val="3"/>
                <c:pt idx="0">
                  <c:v>0.11384367277391524</c:v>
                </c:pt>
                <c:pt idx="1">
                  <c:v>9.3872194925687255E-2</c:v>
                </c:pt>
                <c:pt idx="2">
                  <c:v>5.9275895235449787E-2</c:v>
                </c:pt>
              </c:numCache>
            </c:numRef>
          </c:val>
          <c:extLst>
            <c:ext xmlns:c16="http://schemas.microsoft.com/office/drawing/2014/chart" uri="{C3380CC4-5D6E-409C-BE32-E72D297353CC}">
              <c16:uniqueId val="{00000003-2F80-4BBF-871F-C6405A5E10E9}"/>
            </c:ext>
          </c:extLst>
        </c:ser>
        <c:ser>
          <c:idx val="4"/>
          <c:order val="4"/>
          <c:tx>
            <c:strRef>
              <c:f>'Low activity under 10m'!$B$166</c:f>
              <c:strCache>
                <c:ptCount val="1"/>
                <c:pt idx="0">
                  <c:v>Bass</c:v>
                </c:pt>
              </c:strCache>
            </c:strRef>
          </c:tx>
          <c:spPr>
            <a:solidFill>
              <a:srgbClr val="E87308"/>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10m'!$C$166:$E$166</c:f>
              <c:numCache>
                <c:formatCode>0%</c:formatCode>
                <c:ptCount val="3"/>
                <c:pt idx="0">
                  <c:v>9.0836621584927404E-2</c:v>
                </c:pt>
                <c:pt idx="1">
                  <c:v>7.100021416717972E-2</c:v>
                </c:pt>
                <c:pt idx="2">
                  <c:v>0</c:v>
                </c:pt>
              </c:numCache>
            </c:numRef>
          </c:val>
          <c:extLst>
            <c:ext xmlns:c16="http://schemas.microsoft.com/office/drawing/2014/chart" uri="{C3380CC4-5D6E-409C-BE32-E72D297353CC}">
              <c16:uniqueId val="{00000004-2F80-4BBF-871F-C6405A5E10E9}"/>
            </c:ext>
          </c:extLst>
        </c:ser>
        <c:ser>
          <c:idx val="5"/>
          <c:order val="5"/>
          <c:tx>
            <c:strRef>
              <c:f>'Low activity under 10m'!$B$167</c:f>
              <c:strCache>
                <c:ptCount val="1"/>
                <c:pt idx="0">
                  <c:v>Thornback Ray</c:v>
                </c:pt>
              </c:strCache>
            </c:strRef>
          </c:tx>
          <c:spPr>
            <a:solidFill>
              <a:srgbClr val="0F9AA9"/>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10m'!$C$167:$E$167</c:f>
              <c:numCache>
                <c:formatCode>0%</c:formatCode>
                <c:ptCount val="3"/>
                <c:pt idx="0">
                  <c:v>0</c:v>
                </c:pt>
                <c:pt idx="1">
                  <c:v>0</c:v>
                </c:pt>
                <c:pt idx="2">
                  <c:v>5.4952513014149294E-2</c:v>
                </c:pt>
              </c:numCache>
            </c:numRef>
          </c:val>
          <c:extLst>
            <c:ext xmlns:c16="http://schemas.microsoft.com/office/drawing/2014/chart" uri="{C3380CC4-5D6E-409C-BE32-E72D297353CC}">
              <c16:uniqueId val="{00000005-2F80-4BBF-871F-C6405A5E10E9}"/>
            </c:ext>
          </c:extLst>
        </c:ser>
        <c:ser>
          <c:idx val="6"/>
          <c:order val="6"/>
          <c:tx>
            <c:strRef>
              <c:f>'Low activity under 10m'!$B$168</c:f>
              <c:strCache>
                <c:ptCount val="1"/>
                <c:pt idx="0">
                  <c:v>Others</c:v>
                </c:pt>
              </c:strCache>
            </c:strRef>
          </c:tx>
          <c:spPr>
            <a:solidFill>
              <a:srgbClr val="55585A"/>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10m'!$C$168:$E$168</c:f>
              <c:numCache>
                <c:formatCode>0%</c:formatCode>
                <c:ptCount val="3"/>
                <c:pt idx="0">
                  <c:v>0.37001643089437752</c:v>
                </c:pt>
                <c:pt idx="1">
                  <c:v>0.17831939122344187</c:v>
                </c:pt>
                <c:pt idx="2">
                  <c:v>0.47681378682578845</c:v>
                </c:pt>
              </c:numCache>
            </c:numRef>
          </c:val>
          <c:extLst>
            <c:ext xmlns:c16="http://schemas.microsoft.com/office/drawing/2014/chart" uri="{C3380CC4-5D6E-409C-BE32-E72D297353CC}">
              <c16:uniqueId val="{00000006-2F80-4BBF-871F-C6405A5E10E9}"/>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'Low activity under 10m'!$H$162</c:f>
              <c:strCache>
                <c:ptCount val="1"/>
                <c:pt idx="0">
                  <c:v>Lobsters</c:v>
                </c:pt>
              </c:strCache>
            </c:strRef>
          </c:tx>
          <c:spPr>
            <a:solidFill>
              <a:srgbClr val="2273B9"/>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10m'!$I$162:$K$162</c:f>
              <c:numCache>
                <c:formatCode>0%</c:formatCode>
                <c:ptCount val="3"/>
                <c:pt idx="0">
                  <c:v>0.39205871273624732</c:v>
                </c:pt>
                <c:pt idx="1">
                  <c:v>0.37355320438472284</c:v>
                </c:pt>
                <c:pt idx="2">
                  <c:v>0.31350079863649699</c:v>
                </c:pt>
              </c:numCache>
            </c:numRef>
          </c:val>
          <c:extLst>
            <c:ext xmlns:c16="http://schemas.microsoft.com/office/drawing/2014/chart" uri="{C3380CC4-5D6E-409C-BE32-E72D297353CC}">
              <c16:uniqueId val="{00000000-C3B8-4657-B358-DCA18C4EE76E}"/>
            </c:ext>
          </c:extLst>
        </c:ser>
        <c:ser>
          <c:idx val="1"/>
          <c:order val="1"/>
          <c:tx>
            <c:strRef>
              <c:f>'Low activity under 10m'!$H$163</c:f>
              <c:strCache>
                <c:ptCount val="1"/>
                <c:pt idx="0">
                  <c:v>Bass</c:v>
                </c:pt>
              </c:strCache>
            </c:strRef>
          </c:tx>
          <c:spPr>
            <a:solidFill>
              <a:srgbClr val="E87308"/>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10m'!$I$163:$K$163</c:f>
              <c:numCache>
                <c:formatCode>0%</c:formatCode>
                <c:ptCount val="3"/>
                <c:pt idx="0">
                  <c:v>0.18262990007329813</c:v>
                </c:pt>
                <c:pt idx="1">
                  <c:v>0.19518067167301095</c:v>
                </c:pt>
                <c:pt idx="2">
                  <c:v>0.13758482311249365</c:v>
                </c:pt>
              </c:numCache>
            </c:numRef>
          </c:val>
          <c:extLst>
            <c:ext xmlns:c16="http://schemas.microsoft.com/office/drawing/2014/chart" uri="{C3380CC4-5D6E-409C-BE32-E72D297353CC}">
              <c16:uniqueId val="{00000001-C3B8-4657-B358-DCA18C4EE76E}"/>
            </c:ext>
          </c:extLst>
        </c:ser>
        <c:ser>
          <c:idx val="2"/>
          <c:order val="2"/>
          <c:tx>
            <c:strRef>
              <c:f>'Low activity under 10m'!$H$164</c:f>
              <c:strCache>
                <c:ptCount val="1"/>
                <c:pt idx="0">
                  <c:v>Mackerel</c:v>
                </c:pt>
              </c:strCache>
            </c:strRef>
          </c:tx>
          <c:spPr>
            <a:solidFill>
              <a:srgbClr val="648C2E"/>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10m'!$I$164:$K$164</c:f>
              <c:numCache>
                <c:formatCode>0%</c:formatCode>
                <c:ptCount val="3"/>
                <c:pt idx="0">
                  <c:v>0</c:v>
                </c:pt>
                <c:pt idx="1">
                  <c:v>0.15864428291378876</c:v>
                </c:pt>
                <c:pt idx="2">
                  <c:v>0.11853485128596775</c:v>
                </c:pt>
              </c:numCache>
            </c:numRef>
          </c:val>
          <c:extLst>
            <c:ext xmlns:c16="http://schemas.microsoft.com/office/drawing/2014/chart" uri="{C3380CC4-5D6E-409C-BE32-E72D297353CC}">
              <c16:uniqueId val="{00000002-C3B8-4657-B358-DCA18C4EE76E}"/>
            </c:ext>
          </c:extLst>
        </c:ser>
        <c:ser>
          <c:idx val="3"/>
          <c:order val="3"/>
          <c:tx>
            <c:strRef>
              <c:f>'Low activity under 10m'!$H$165</c:f>
              <c:strCache>
                <c:ptCount val="1"/>
                <c:pt idx="0">
                  <c:v>Velvet Crab</c:v>
                </c:pt>
              </c:strCache>
            </c:strRef>
          </c:tx>
          <c:spPr>
            <a:solidFill>
              <a:srgbClr val="C1D119"/>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10m'!$I$165:$K$165</c:f>
              <c:numCache>
                <c:formatCode>0%</c:formatCode>
                <c:ptCount val="3"/>
                <c:pt idx="0">
                  <c:v>0</c:v>
                </c:pt>
                <c:pt idx="1">
                  <c:v>9.1081884684445252E-2</c:v>
                </c:pt>
                <c:pt idx="2">
                  <c:v>6.9657069446449449E-2</c:v>
                </c:pt>
              </c:numCache>
            </c:numRef>
          </c:val>
          <c:extLst>
            <c:ext xmlns:c16="http://schemas.microsoft.com/office/drawing/2014/chart" uri="{C3380CC4-5D6E-409C-BE32-E72D297353CC}">
              <c16:uniqueId val="{00000003-C3B8-4657-B358-DCA18C4EE76E}"/>
            </c:ext>
          </c:extLst>
        </c:ser>
        <c:ser>
          <c:idx val="4"/>
          <c:order val="4"/>
          <c:tx>
            <c:strRef>
              <c:f>'Low activity under 10m'!$H$166</c:f>
              <c:strCache>
                <c:ptCount val="1"/>
                <c:pt idx="0">
                  <c:v>Brown Crab</c:v>
                </c:pt>
              </c:strCache>
            </c:strRef>
          </c:tx>
          <c:spPr>
            <a:solidFill>
              <a:srgbClr val="E84A38"/>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10m'!$I$166:$K$166</c:f>
              <c:numCache>
                <c:formatCode>0%</c:formatCode>
                <c:ptCount val="3"/>
                <c:pt idx="0">
                  <c:v>7.4233728277308189E-2</c:v>
                </c:pt>
                <c:pt idx="1">
                  <c:v>5.3328280006941703E-2</c:v>
                </c:pt>
                <c:pt idx="2">
                  <c:v>0</c:v>
                </c:pt>
              </c:numCache>
            </c:numRef>
          </c:val>
          <c:extLst>
            <c:ext xmlns:c16="http://schemas.microsoft.com/office/drawing/2014/chart" uri="{C3380CC4-5D6E-409C-BE32-E72D297353CC}">
              <c16:uniqueId val="{00000004-C3B8-4657-B358-DCA18C4EE76E}"/>
            </c:ext>
          </c:extLst>
        </c:ser>
        <c:ser>
          <c:idx val="5"/>
          <c:order val="5"/>
          <c:tx>
            <c:strRef>
              <c:f>'Low activity under 10m'!$H$167</c:f>
              <c:strCache>
                <c:ptCount val="1"/>
                <c:pt idx="0">
                  <c:v>Sole</c:v>
                </c:pt>
              </c:strCache>
            </c:strRef>
          </c:tx>
          <c:spPr>
            <a:solidFill>
              <a:srgbClr val="FED825"/>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10m'!$I$167:$K$167</c:f>
              <c:numCache>
                <c:formatCode>0%</c:formatCode>
                <c:ptCount val="3"/>
                <c:pt idx="0">
                  <c:v>6.1514715297043027E-2</c:v>
                </c:pt>
                <c:pt idx="1">
                  <c:v>0</c:v>
                </c:pt>
                <c:pt idx="2">
                  <c:v>6.6313035237798093E-2</c:v>
                </c:pt>
              </c:numCache>
            </c:numRef>
          </c:val>
          <c:extLst>
            <c:ext xmlns:c16="http://schemas.microsoft.com/office/drawing/2014/chart" uri="{C3380CC4-5D6E-409C-BE32-E72D297353CC}">
              <c16:uniqueId val="{00000005-C3B8-4657-B358-DCA18C4EE76E}"/>
            </c:ext>
          </c:extLst>
        </c:ser>
        <c:ser>
          <c:idx val="6"/>
          <c:order val="6"/>
          <c:tx>
            <c:strRef>
              <c:f>'Low activity under 10m'!$H$168</c:f>
              <c:strCache>
                <c:ptCount val="1"/>
                <c:pt idx="0">
                  <c:v>Nephrops</c:v>
                </c:pt>
              </c:strCache>
            </c:strRef>
          </c:tx>
          <c:spPr>
            <a:solidFill>
              <a:srgbClr val="707271"/>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10m'!$I$168:$K$168</c:f>
              <c:numCache>
                <c:formatCode>0%</c:formatCode>
                <c:ptCount val="3"/>
                <c:pt idx="0">
                  <c:v>5.7002064409578862E-2</c:v>
                </c:pt>
                <c:pt idx="1">
                  <c:v>0</c:v>
                </c:pt>
                <c:pt idx="2">
                  <c:v>0</c:v>
                </c:pt>
              </c:numCache>
            </c:numRef>
          </c:val>
          <c:extLst>
            <c:ext xmlns:c16="http://schemas.microsoft.com/office/drawing/2014/chart" uri="{C3380CC4-5D6E-409C-BE32-E72D297353CC}">
              <c16:uniqueId val="{00000006-C3B8-4657-B358-DCA18C4EE76E}"/>
            </c:ext>
          </c:extLst>
        </c:ser>
        <c:ser>
          <c:idx val="7"/>
          <c:order val="7"/>
          <c:tx>
            <c:strRef>
              <c:f>'Low activity under 10m'!$H$169</c:f>
              <c:strCache>
                <c:ptCount val="1"/>
                <c:pt idx="0">
                  <c:v>Others</c:v>
                </c:pt>
              </c:strCache>
            </c:strRef>
          </c:tx>
          <c:spPr>
            <a:solidFill>
              <a:srgbClr val="55585A"/>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10m'!$I$169:$K$169</c:f>
              <c:numCache>
                <c:formatCode>0%</c:formatCode>
                <c:ptCount val="3"/>
                <c:pt idx="0">
                  <c:v>0.23256087920652446</c:v>
                </c:pt>
                <c:pt idx="1">
                  <c:v>0.12821167633709052</c:v>
                </c:pt>
                <c:pt idx="2">
                  <c:v>0.29440942228079414</c:v>
                </c:pt>
              </c:numCache>
            </c:numRef>
          </c:val>
          <c:extLst>
            <c:ext xmlns:c16="http://schemas.microsoft.com/office/drawing/2014/chart" uri="{C3380CC4-5D6E-409C-BE32-E72D297353CC}">
              <c16:uniqueId val="{00000007-C3B8-4657-B358-DCA18C4EE76E}"/>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'Low activity under 10m'!$K$139</c:f>
              <c:strCache>
                <c:ptCount val="1"/>
                <c:pt idx="0">
                  <c:v>Total income</c:v>
                </c:pt>
              </c:strCache>
            </c:strRef>
          </c:tx>
          <c:spPr>
            <a:solidFill>
              <a:srgbClr val="087CBB"/>
            </a:solidFill>
            <a:ln>
              <a:solidFill>
                <a:schemeClr val="accent1"/>
              </a:solidFill>
            </a:ln>
          </c:spPr>
          <c:invertIfNegative val="0"/>
          <c:cat>
            <c:strRef>
              <c:f>'Low activity under 10m'!$L$138:$N$138</c:f>
              <c:strCache>
                <c:ptCount val="3"/>
                <c:pt idx="0">
                  <c:v>Most
profitable
quartile</c:v>
                </c:pt>
                <c:pt idx="1">
                  <c:v>Middle
two quartiles</c:v>
                </c:pt>
                <c:pt idx="2">
                  <c:v>Least
profitable
quartile</c:v>
                </c:pt>
              </c:strCache>
            </c:strRef>
          </c:cat>
          <c:val>
            <c:numRef>
              <c:f>'Low activity under 10m'!$L$139:$N$139</c:f>
              <c:numCache>
                <c:formatCode>#,##0</c:formatCode>
                <c:ptCount val="3"/>
                <c:pt idx="0">
                  <c:v>5.6113461914062501</c:v>
                </c:pt>
                <c:pt idx="1">
                  <c:v>4.1967520399669702</c:v>
                </c:pt>
                <c:pt idx="2">
                  <c:v>2.2360312499999999</c:v>
                </c:pt>
              </c:numCache>
            </c:numRef>
          </c:val>
          <c:extLst>
            <c:ext xmlns:c16="http://schemas.microsoft.com/office/drawing/2014/chart" uri="{C3380CC4-5D6E-409C-BE32-E72D297353CC}">
              <c16:uniqueId val="{00000000-2653-4E70-B507-B7ABCA786B88}"/>
            </c:ext>
          </c:extLst>
        </c:ser>
        <c:ser>
          <c:idx val="1"/>
          <c:order val="1"/>
          <c:tx>
            <c:strRef>
              <c:f>'Low activity under 10m'!$K$140</c:f>
              <c:strCache>
                <c:ptCount val="1"/>
                <c:pt idx="0">
                  <c:v>Operating costs</c:v>
                </c:pt>
              </c:strCache>
            </c:strRef>
          </c:tx>
          <c:spPr>
            <a:solidFill>
              <a:srgbClr val="E87308"/>
            </a:solidFill>
          </c:spPr>
          <c:invertIfNegative val="0"/>
          <c:cat>
            <c:strRef>
              <c:f>'Low activity under 10m'!$L$138:$N$138</c:f>
              <c:strCache>
                <c:ptCount val="3"/>
                <c:pt idx="0">
                  <c:v>Most
profitable
quartile</c:v>
                </c:pt>
                <c:pt idx="1">
                  <c:v>Middle
two quartiles</c:v>
                </c:pt>
                <c:pt idx="2">
                  <c:v>Least
profitable
quartile</c:v>
                </c:pt>
              </c:strCache>
            </c:strRef>
          </c:cat>
          <c:val>
            <c:numRef>
              <c:f>'Low activity under 10m'!$L$140:$N$140</c:f>
              <c:numCache>
                <c:formatCode>#,##0</c:formatCode>
                <c:ptCount val="3"/>
                <c:pt idx="0">
                  <c:v>5.3366582031250003</c:v>
                </c:pt>
                <c:pt idx="1">
                  <c:v>4.3568336776426202</c:v>
                </c:pt>
                <c:pt idx="2">
                  <c:v>2.9991376953125002</c:v>
                </c:pt>
              </c:numCache>
            </c:numRef>
          </c:val>
          <c:extLst>
            <c:ext xmlns:c16="http://schemas.microsoft.com/office/drawing/2014/chart" uri="{C3380CC4-5D6E-409C-BE32-E72D297353CC}">
              <c16:uniqueId val="{00000001-2653-4E70-B507-B7ABCA786B88}"/>
            </c:ext>
          </c:extLst>
        </c:ser>
        <c:ser>
          <c:idx val="2"/>
          <c:order val="2"/>
          <c:tx>
            <c:strRef>
              <c:f>'Low activity under 10m'!$K$141</c:f>
              <c:strCache>
                <c:ptCount val="1"/>
                <c:pt idx="0">
                  <c:v>Operating profit</c:v>
                </c:pt>
              </c:strCache>
            </c:strRef>
          </c:tx>
          <c:spPr>
            <a:solidFill>
              <a:srgbClr val="51AA81"/>
            </a:solidFill>
          </c:spPr>
          <c:invertIfNegative val="0"/>
          <c:cat>
            <c:strRef>
              <c:f>'Low activity under 10m'!$L$138:$N$138</c:f>
              <c:strCache>
                <c:ptCount val="3"/>
                <c:pt idx="0">
                  <c:v>Most
profitable
quartile</c:v>
                </c:pt>
                <c:pt idx="1">
                  <c:v>Middle
two quartiles</c:v>
                </c:pt>
                <c:pt idx="2">
                  <c:v>Least
profitable
quartile</c:v>
                </c:pt>
              </c:strCache>
            </c:strRef>
          </c:cat>
          <c:val>
            <c:numRef>
              <c:f>'Low activity under 10m'!$L$141:$N$141</c:f>
              <c:numCache>
                <c:formatCode>#,##0</c:formatCode>
                <c:ptCount val="3"/>
                <c:pt idx="0">
                  <c:v>0.27468798828125002</c:v>
                </c:pt>
                <c:pt idx="1">
                  <c:v>-0.16008163767565001</c:v>
                </c:pt>
                <c:pt idx="2">
                  <c:v>-0.76310644531250005</c:v>
                </c:pt>
              </c:numCache>
            </c:numRef>
          </c:val>
          <c:extLst>
            <c:ext xmlns:c16="http://schemas.microsoft.com/office/drawing/2014/chart" uri="{C3380CC4-5D6E-409C-BE32-E72D297353CC}">
              <c16:uniqueId val="{00000002-2653-4E70-B507-B7ABCA786B88}"/>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'Low activity under 10m'!$K$142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300kW'!$A$48</c:f>
          <c:strCache>
            <c:ptCount val="1"/>
            <c:pt idx="0">
              <c:v>Landings per kW day at sea (kg)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0C8B-480B-883D-3DCC13A63B2B}"/>
              </c:ext>
            </c:extLst>
          </c:dPt>
          <c:dPt>
            <c:idx val="10"/>
            <c:bubble3D val="0"/>
            <c:spPr>
              <a:ln w="57150">
                <a:solidFill>
                  <a:srgbClr val="2273B9"/>
                </a:solidFill>
                <a:prstDash val="sysDot"/>
              </a:ln>
            </c:spPr>
            <c:extLst>
              <c:ext xmlns:c16="http://schemas.microsoft.com/office/drawing/2014/chart" uri="{C3380CC4-5D6E-409C-BE32-E72D297353CC}">
                <c16:uniqueId val="{00000003-0C8B-480B-883D-3DCC13A63B2B}"/>
              </c:ext>
            </c:extLst>
          </c:dPt>
          <c:cat>
            <c:numRef>
              <c:f>'NS beam trawl over 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 beam trawl over 300kW'!$D$21:$N$21</c:f>
              <c:numCache>
                <c:formatCode>#,##0.00</c:formatCode>
                <c:ptCount val="11"/>
                <c:pt idx="0">
                  <c:v>3.3281555950026775</c:v>
                </c:pt>
                <c:pt idx="1">
                  <c:v>3.6989979213846667</c:v>
                </c:pt>
                <c:pt idx="2">
                  <c:v>3.0654884837860195</c:v>
                </c:pt>
                <c:pt idx="3">
                  <c:v>3.0560596484096374</c:v>
                </c:pt>
                <c:pt idx="4">
                  <c:v>3.1873325317702004</c:v>
                </c:pt>
                <c:pt idx="5">
                  <c:v>3.3147402027274158</c:v>
                </c:pt>
                <c:pt idx="6">
                  <c:v>2.8714924850069496</c:v>
                </c:pt>
                <c:pt idx="7">
                  <c:v>2.038167439492141</c:v>
                </c:pt>
                <c:pt idx="8">
                  <c:v>1.698740415545378</c:v>
                </c:pt>
                <c:pt idx="9">
                  <c:v>1.2132909662062246</c:v>
                </c:pt>
                <c:pt idx="10">
                  <c:v>1.0916327793574616</c:v>
                </c:pt>
              </c:numCache>
            </c:numRef>
          </c:val>
          <c:smooth val="0"/>
          <c:extLst>
            <c:ext xmlns:c16="http://schemas.microsoft.com/office/drawing/2014/chart" uri="{C3380CC4-5D6E-409C-BE32-E72D297353CC}">
              <c16:uniqueId val="{00000004-0C8B-480B-883D-3DCC13A63B2B}"/>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'Area VIIa demersal trawl'!$H$162</c:f>
              <c:strCache>
                <c:ptCount val="1"/>
                <c:pt idx="0">
                  <c:v>Haddock</c:v>
                </c:pt>
              </c:strCache>
            </c:strRef>
          </c:tx>
          <c:spPr>
            <a:solidFill>
              <a:srgbClr val="2273B9"/>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trawl'!$I$162:$K$162</c:f>
              <c:numCache>
                <c:formatCode>0%</c:formatCode>
                <c:ptCount val="3"/>
                <c:pt idx="0">
                  <c:v>0</c:v>
                </c:pt>
                <c:pt idx="1">
                  <c:v>0</c:v>
                </c:pt>
                <c:pt idx="2">
                  <c:v>0</c:v>
                </c:pt>
              </c:numCache>
            </c:numRef>
          </c:val>
          <c:extLst>
            <c:ext xmlns:c16="http://schemas.microsoft.com/office/drawing/2014/chart" uri="{C3380CC4-5D6E-409C-BE32-E72D297353CC}">
              <c16:uniqueId val="{00000000-AC2F-44D2-847D-C95ED3BB9462}"/>
            </c:ext>
          </c:extLst>
        </c:ser>
        <c:ser>
          <c:idx val="1"/>
          <c:order val="1"/>
          <c:tx>
            <c:strRef>
              <c:f>'Area VIIa demersal trawl'!$H$163</c:f>
              <c:strCache>
                <c:ptCount val="1"/>
                <c:pt idx="0">
                  <c:v>Cod</c:v>
                </c:pt>
              </c:strCache>
            </c:strRef>
          </c:tx>
          <c:spPr>
            <a:solidFill>
              <a:srgbClr val="E87308"/>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trawl'!$I$163:$K$163</c:f>
              <c:numCache>
                <c:formatCode>0%</c:formatCode>
                <c:ptCount val="3"/>
                <c:pt idx="0">
                  <c:v>0</c:v>
                </c:pt>
                <c:pt idx="1">
                  <c:v>0</c:v>
                </c:pt>
                <c:pt idx="2">
                  <c:v>0</c:v>
                </c:pt>
              </c:numCache>
            </c:numRef>
          </c:val>
          <c:extLst>
            <c:ext xmlns:c16="http://schemas.microsoft.com/office/drawing/2014/chart" uri="{C3380CC4-5D6E-409C-BE32-E72D297353CC}">
              <c16:uniqueId val="{00000001-AC2F-44D2-847D-C95ED3BB9462}"/>
            </c:ext>
          </c:extLst>
        </c:ser>
        <c:ser>
          <c:idx val="2"/>
          <c:order val="2"/>
          <c:tx>
            <c:strRef>
              <c:f>'Area VIIa demersal trawl'!$H$164</c:f>
              <c:strCache>
                <c:ptCount val="1"/>
                <c:pt idx="0">
                  <c:v>Hake</c:v>
                </c:pt>
              </c:strCache>
            </c:strRef>
          </c:tx>
          <c:spPr>
            <a:solidFill>
              <a:srgbClr val="648C2E"/>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trawl'!$I$164:$K$164</c:f>
              <c:numCache>
                <c:formatCode>0%</c:formatCode>
                <c:ptCount val="3"/>
                <c:pt idx="0">
                  <c:v>0</c:v>
                </c:pt>
                <c:pt idx="1">
                  <c:v>0</c:v>
                </c:pt>
                <c:pt idx="2">
                  <c:v>0</c:v>
                </c:pt>
              </c:numCache>
            </c:numRef>
          </c:val>
          <c:extLst>
            <c:ext xmlns:c16="http://schemas.microsoft.com/office/drawing/2014/chart" uri="{C3380CC4-5D6E-409C-BE32-E72D297353CC}">
              <c16:uniqueId val="{00000002-AC2F-44D2-847D-C95ED3BB9462}"/>
            </c:ext>
          </c:extLst>
        </c:ser>
        <c:ser>
          <c:idx val="3"/>
          <c:order val="3"/>
          <c:tx>
            <c:strRef>
              <c:f>'Area VIIa demersal trawl'!$H$165</c:f>
              <c:strCache>
                <c:ptCount val="1"/>
                <c:pt idx="0">
                  <c:v>Pollack</c:v>
                </c:pt>
              </c:strCache>
            </c:strRef>
          </c:tx>
          <c:spPr>
            <a:solidFill>
              <a:srgbClr val="E84A38"/>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trawl'!$I$165:$K$165</c:f>
              <c:numCache>
                <c:formatCode>0%</c:formatCode>
                <c:ptCount val="3"/>
                <c:pt idx="0">
                  <c:v>0</c:v>
                </c:pt>
                <c:pt idx="1">
                  <c:v>0</c:v>
                </c:pt>
                <c:pt idx="2">
                  <c:v>0</c:v>
                </c:pt>
              </c:numCache>
            </c:numRef>
          </c:val>
          <c:extLst>
            <c:ext xmlns:c16="http://schemas.microsoft.com/office/drawing/2014/chart" uri="{C3380CC4-5D6E-409C-BE32-E72D297353CC}">
              <c16:uniqueId val="{00000003-AC2F-44D2-847D-C95ED3BB9462}"/>
            </c:ext>
          </c:extLst>
        </c:ser>
        <c:ser>
          <c:idx val="4"/>
          <c:order val="4"/>
          <c:tx>
            <c:strRef>
              <c:f>'Area VIIa demersal trawl'!$H$166</c:f>
              <c:strCache>
                <c:ptCount val="1"/>
                <c:pt idx="0">
                  <c:v>Whiting</c:v>
                </c:pt>
              </c:strCache>
            </c:strRef>
          </c:tx>
          <c:spPr>
            <a:solidFill>
              <a:srgbClr val="FED825"/>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trawl'!$I$166:$K$166</c:f>
              <c:numCache>
                <c:formatCode>0%</c:formatCode>
                <c:ptCount val="3"/>
                <c:pt idx="0">
                  <c:v>0</c:v>
                </c:pt>
                <c:pt idx="1">
                  <c:v>0</c:v>
                </c:pt>
                <c:pt idx="2">
                  <c:v>0</c:v>
                </c:pt>
              </c:numCache>
            </c:numRef>
          </c:val>
          <c:extLst>
            <c:ext xmlns:c16="http://schemas.microsoft.com/office/drawing/2014/chart" uri="{C3380CC4-5D6E-409C-BE32-E72D297353CC}">
              <c16:uniqueId val="{00000004-AC2F-44D2-847D-C95ED3BB9462}"/>
            </c:ext>
          </c:extLst>
        </c:ser>
        <c:ser>
          <c:idx val="5"/>
          <c:order val="5"/>
          <c:tx>
            <c:strRef>
              <c:f>'Area VIIa demersal trawl'!$H$167</c:f>
              <c:strCache>
                <c:ptCount val="1"/>
                <c:pt idx="0">
                  <c:v>Scallops</c:v>
                </c:pt>
              </c:strCache>
            </c:strRef>
          </c:tx>
          <c:spPr>
            <a:solidFill>
              <a:srgbClr val="C1D119"/>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trawl'!$I$167:$K$167</c:f>
              <c:numCache>
                <c:formatCode>0%</c:formatCode>
                <c:ptCount val="3"/>
                <c:pt idx="0">
                  <c:v>0</c:v>
                </c:pt>
                <c:pt idx="1">
                  <c:v>0</c:v>
                </c:pt>
                <c:pt idx="2">
                  <c:v>0</c:v>
                </c:pt>
              </c:numCache>
            </c:numRef>
          </c:val>
          <c:extLst>
            <c:ext xmlns:c16="http://schemas.microsoft.com/office/drawing/2014/chart" uri="{C3380CC4-5D6E-409C-BE32-E72D297353CC}">
              <c16:uniqueId val="{00000005-AC2F-44D2-847D-C95ED3BB9462}"/>
            </c:ext>
          </c:extLst>
        </c:ser>
        <c:ser>
          <c:idx val="6"/>
          <c:order val="6"/>
          <c:tx>
            <c:strRef>
              <c:f>'Area VIIa demersal trawl'!$H$168</c:f>
              <c:strCache>
                <c:ptCount val="1"/>
                <c:pt idx="0">
                  <c:v>Nephrops</c:v>
                </c:pt>
              </c:strCache>
            </c:strRef>
          </c:tx>
          <c:spPr>
            <a:solidFill>
              <a:srgbClr val="707271"/>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trawl'!$I$168:$K$168</c:f>
              <c:numCache>
                <c:formatCode>0%</c:formatCode>
                <c:ptCount val="3"/>
                <c:pt idx="0">
                  <c:v>0</c:v>
                </c:pt>
                <c:pt idx="1">
                  <c:v>0</c:v>
                </c:pt>
                <c:pt idx="2">
                  <c:v>0</c:v>
                </c:pt>
              </c:numCache>
            </c:numRef>
          </c:val>
          <c:extLst>
            <c:ext xmlns:c16="http://schemas.microsoft.com/office/drawing/2014/chart" uri="{C3380CC4-5D6E-409C-BE32-E72D297353CC}">
              <c16:uniqueId val="{00000006-AC2F-44D2-847D-C95ED3BB9462}"/>
            </c:ext>
          </c:extLst>
        </c:ser>
        <c:ser>
          <c:idx val="7"/>
          <c:order val="7"/>
          <c:tx>
            <c:strRef>
              <c:f>'Area VIIa demersal trawl'!$H$169</c:f>
              <c:strCache>
                <c:ptCount val="1"/>
                <c:pt idx="0">
                  <c:v>Plaice</c:v>
                </c:pt>
              </c:strCache>
            </c:strRef>
          </c:tx>
          <c:spPr>
            <a:solidFill>
              <a:srgbClr val="169FDB"/>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trawl'!$I$169:$K$169</c:f>
              <c:numCache>
                <c:formatCode>0%</c:formatCode>
                <c:ptCount val="3"/>
                <c:pt idx="0">
                  <c:v>0</c:v>
                </c:pt>
                <c:pt idx="1">
                  <c:v>0</c:v>
                </c:pt>
                <c:pt idx="2">
                  <c:v>0</c:v>
                </c:pt>
              </c:numCache>
            </c:numRef>
          </c:val>
          <c:extLst>
            <c:ext xmlns:c16="http://schemas.microsoft.com/office/drawing/2014/chart" uri="{C3380CC4-5D6E-409C-BE32-E72D297353CC}">
              <c16:uniqueId val="{00000007-AC2F-44D2-847D-C95ED3BB9462}"/>
            </c:ext>
          </c:extLst>
        </c:ser>
        <c:ser>
          <c:idx val="8"/>
          <c:order val="8"/>
          <c:tx>
            <c:strRef>
              <c:f>'Area VIIa demersal trawl'!$H$170</c:f>
              <c:strCache>
                <c:ptCount val="1"/>
                <c:pt idx="0">
                  <c:v>Les. Spot. Dog</c:v>
                </c:pt>
              </c:strCache>
            </c:strRef>
          </c:tx>
          <c:spPr>
            <a:solidFill>
              <a:srgbClr val="51AA81"/>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trawl'!$I$170:$K$170</c:f>
              <c:numCache>
                <c:formatCode>0%</c:formatCode>
                <c:ptCount val="3"/>
                <c:pt idx="0">
                  <c:v>0</c:v>
                </c:pt>
                <c:pt idx="1">
                  <c:v>0</c:v>
                </c:pt>
                <c:pt idx="2">
                  <c:v>0</c:v>
                </c:pt>
              </c:numCache>
            </c:numRef>
          </c:val>
          <c:extLst>
            <c:ext xmlns:c16="http://schemas.microsoft.com/office/drawing/2014/chart" uri="{C3380CC4-5D6E-409C-BE32-E72D297353CC}">
              <c16:uniqueId val="{00000008-AC2F-44D2-847D-C95ED3BB9462}"/>
            </c:ext>
          </c:extLst>
        </c:ser>
        <c:ser>
          <c:idx val="9"/>
          <c:order val="9"/>
          <c:tx>
            <c:strRef>
              <c:f>'Area VIIa demersal trawl'!$H$171</c:f>
              <c:strCache>
                <c:ptCount val="1"/>
                <c:pt idx="0">
                  <c:v>Thornback Ray</c:v>
                </c:pt>
              </c:strCache>
            </c:strRef>
          </c:tx>
          <c:spPr>
            <a:solidFill>
              <a:srgbClr val="E40D2C"/>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trawl'!$I$171:$K$171</c:f>
              <c:numCache>
                <c:formatCode>0%</c:formatCode>
                <c:ptCount val="3"/>
                <c:pt idx="0">
                  <c:v>0</c:v>
                </c:pt>
                <c:pt idx="1">
                  <c:v>0</c:v>
                </c:pt>
                <c:pt idx="2">
                  <c:v>0</c:v>
                </c:pt>
              </c:numCache>
            </c:numRef>
          </c:val>
          <c:extLst>
            <c:ext xmlns:c16="http://schemas.microsoft.com/office/drawing/2014/chart" uri="{C3380CC4-5D6E-409C-BE32-E72D297353CC}">
              <c16:uniqueId val="{00000009-AC2F-44D2-847D-C95ED3BB9462}"/>
            </c:ext>
          </c:extLst>
        </c:ser>
        <c:ser>
          <c:idx val="10"/>
          <c:order val="10"/>
          <c:tx>
            <c:strRef>
              <c:f>'Area VIIa demersal trawl'!$H$172</c:f>
              <c:strCache>
                <c:ptCount val="1"/>
                <c:pt idx="0">
                  <c:v>Others</c:v>
                </c:pt>
              </c:strCache>
            </c:strRef>
          </c:tx>
          <c:spPr>
            <a:solidFill>
              <a:srgbClr val="55585A"/>
            </a:solidFill>
            <a:ln>
              <a:solidFill>
                <a:srgbClr val="FFFFFF"/>
              </a:solidFill>
            </a:ln>
          </c:spPr>
          <c:invertIfNegative val="0"/>
          <c:cat>
            <c:strRef>
              <c:f>'Area VIIa demersal trawl'!$I$161:$K$161</c:f>
              <c:strCache>
                <c:ptCount val="3"/>
                <c:pt idx="0">
                  <c:v>Most
profitable
quartile</c:v>
                </c:pt>
                <c:pt idx="1">
                  <c:v>Middle 
two quartiles</c:v>
                </c:pt>
                <c:pt idx="2">
                  <c:v>Least
profitable
quartile</c:v>
                </c:pt>
              </c:strCache>
            </c:strRef>
          </c:cat>
          <c:val>
            <c:numRef>
              <c:f>'Area VIIa demersal trawl'!$I$172:$K$172</c:f>
              <c:numCache>
                <c:formatCode>0%</c:formatCode>
                <c:ptCount val="3"/>
                <c:pt idx="0">
                  <c:v>0</c:v>
                </c:pt>
                <c:pt idx="1">
                  <c:v>0</c:v>
                </c:pt>
                <c:pt idx="2">
                  <c:v>0</c:v>
                </c:pt>
              </c:numCache>
            </c:numRef>
          </c:val>
          <c:extLst>
            <c:ext xmlns:c16="http://schemas.microsoft.com/office/drawing/2014/chart" uri="{C3380CC4-5D6E-409C-BE32-E72D297353CC}">
              <c16:uniqueId val="{0000000A-AC2F-44D2-847D-C95ED3BB9462}"/>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300kW'!$A$49</c:f>
          <c:strCache>
            <c:ptCount val="1"/>
            <c:pt idx="0">
              <c:v>Fishing income per kW day at sea (£)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C8DF-4454-AA17-BABEA77B7635}"/>
              </c:ext>
            </c:extLst>
          </c:dPt>
          <c:dPt>
            <c:idx val="10"/>
            <c:bubble3D val="0"/>
            <c:spPr>
              <a:ln w="57150">
                <a:solidFill>
                  <a:srgbClr val="648C2E"/>
                </a:solidFill>
                <a:prstDash val="sysDot"/>
              </a:ln>
            </c:spPr>
            <c:extLst>
              <c:ext xmlns:c16="http://schemas.microsoft.com/office/drawing/2014/chart" uri="{C3380CC4-5D6E-409C-BE32-E72D297353CC}">
                <c16:uniqueId val="{00000003-C8DF-4454-AA17-BABEA77B7635}"/>
              </c:ext>
            </c:extLst>
          </c:dPt>
          <c:cat>
            <c:numRef>
              <c:f>'NS beam trawl over 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 beam trawl over 300kW'!$D$22:$N$22</c:f>
              <c:numCache>
                <c:formatCode>#,##0.00</c:formatCode>
                <c:ptCount val="11"/>
                <c:pt idx="0">
                  <c:v>7.2381915720032897</c:v>
                </c:pt>
                <c:pt idx="1">
                  <c:v>7.0326885202057001</c:v>
                </c:pt>
                <c:pt idx="2">
                  <c:v>5.3518407055686197</c:v>
                </c:pt>
                <c:pt idx="3">
                  <c:v>5.56820799010434</c:v>
                </c:pt>
                <c:pt idx="4">
                  <c:v>6.3443421910808198</c:v>
                </c:pt>
                <c:pt idx="5">
                  <c:v>7.00445767029011</c:v>
                </c:pt>
                <c:pt idx="6">
                  <c:v>5.8621937751744602</c:v>
                </c:pt>
                <c:pt idx="7">
                  <c:v>5.1712547591112603</c:v>
                </c:pt>
                <c:pt idx="8">
                  <c:v>3.73581414768329</c:v>
                </c:pt>
                <c:pt idx="9">
                  <c:v>1.979590565454</c:v>
                </c:pt>
                <c:pt idx="10">
                  <c:v>1.2920923341004777</c:v>
                </c:pt>
              </c:numCache>
            </c:numRef>
          </c:val>
          <c:smooth val="0"/>
          <c:extLst>
            <c:ext xmlns:c16="http://schemas.microsoft.com/office/drawing/2014/chart" uri="{C3380CC4-5D6E-409C-BE32-E72D297353CC}">
              <c16:uniqueId val="{00000004-C8DF-4454-AA17-BABEA77B7635}"/>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300kW'!$B$62</c:f>
          <c:strCache>
            <c:ptCount val="1"/>
            <c:pt idx="0">
              <c:v>Total cost per kW day at sea (£)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E3B1-4813-ADB7-B433FDF375D2}"/>
              </c:ext>
            </c:extLst>
          </c:dPt>
          <c:dPt>
            <c:idx val="10"/>
            <c:bubble3D val="0"/>
            <c:spPr>
              <a:ln w="57150">
                <a:solidFill>
                  <a:srgbClr val="087CBB"/>
                </a:solidFill>
                <a:prstDash val="sysDot"/>
              </a:ln>
            </c:spPr>
            <c:extLst>
              <c:ext xmlns:c16="http://schemas.microsoft.com/office/drawing/2014/chart" uri="{C3380CC4-5D6E-409C-BE32-E72D297353CC}">
                <c16:uniqueId val="{00000003-E3B1-4813-ADB7-B433FDF375D2}"/>
              </c:ext>
            </c:extLst>
          </c:dPt>
          <c:cat>
            <c:numRef>
              <c:f>'NS beam trawl over 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 beam trawl over 300kW'!$D$23:$N$23</c:f>
              <c:numCache>
                <c:formatCode>#,##0.00</c:formatCode>
                <c:ptCount val="11"/>
                <c:pt idx="0">
                  <c:v>6.8263135534369601</c:v>
                </c:pt>
                <c:pt idx="1">
                  <c:v>7.0400024295351402</c:v>
                </c:pt>
                <c:pt idx="2">
                  <c:v>5.7179048129836296</c:v>
                </c:pt>
                <c:pt idx="3">
                  <c:v>5.7013196701015003</c:v>
                </c:pt>
                <c:pt idx="4">
                  <c:v>6.07188842340297</c:v>
                </c:pt>
                <c:pt idx="5">
                  <c:v>6.1918399737955996</c:v>
                </c:pt>
                <c:pt idx="6">
                  <c:v>5.79579117485134</c:v>
                </c:pt>
                <c:pt idx="7">
                  <c:v>6.2255485394903003</c:v>
                </c:pt>
                <c:pt idx="8">
                  <c:v>4.1825816160721603</c:v>
                </c:pt>
                <c:pt idx="9">
                  <c:v>2.9533913039663102</c:v>
                </c:pt>
                <c:pt idx="10">
                  <c:v>3.0107729840176165</c:v>
                </c:pt>
              </c:numCache>
            </c:numRef>
          </c:val>
          <c:smooth val="0"/>
          <c:extLst>
            <c:ext xmlns:c16="http://schemas.microsoft.com/office/drawing/2014/chart" uri="{C3380CC4-5D6E-409C-BE32-E72D297353CC}">
              <c16:uniqueId val="{00000004-E3B1-4813-ADB7-B433FDF375D2}"/>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300kW'!$K$48</c:f>
          <c:strCache>
            <c:ptCount val="1"/>
            <c:pt idx="0">
              <c:v>Operating profit per kW day at sea (£)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6731-41F2-9EF9-47E448F86167}"/>
              </c:ext>
            </c:extLst>
          </c:dPt>
          <c:dPt>
            <c:idx val="10"/>
            <c:bubble3D val="0"/>
            <c:spPr>
              <a:ln w="57150">
                <a:solidFill>
                  <a:schemeClr val="accent3"/>
                </a:solidFill>
                <a:prstDash val="sysDot"/>
              </a:ln>
            </c:spPr>
            <c:extLst>
              <c:ext xmlns:c16="http://schemas.microsoft.com/office/drawing/2014/chart" uri="{C3380CC4-5D6E-409C-BE32-E72D297353CC}">
                <c16:uniqueId val="{00000003-6731-41F2-9EF9-47E448F86167}"/>
              </c:ext>
            </c:extLst>
          </c:dPt>
          <c:cat>
            <c:numRef>
              <c:f>'NS beam trawl over 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 beam trawl over 300kW'!$D$24:$N$24</c:f>
              <c:numCache>
                <c:formatCode>#,##0.00</c:formatCode>
                <c:ptCount val="11"/>
                <c:pt idx="0">
                  <c:v>0.43321151018607601</c:v>
                </c:pt>
                <c:pt idx="1">
                  <c:v>1.34138918248631E-2</c:v>
                </c:pt>
                <c:pt idx="2">
                  <c:v>-0.29404436296201403</c:v>
                </c:pt>
                <c:pt idx="3">
                  <c:v>-0.110044592184751</c:v>
                </c:pt>
                <c:pt idx="4">
                  <c:v>0.465924423927287</c:v>
                </c:pt>
                <c:pt idx="5">
                  <c:v>0.88431137666561699</c:v>
                </c:pt>
                <c:pt idx="6">
                  <c:v>0.24517014157547501</c:v>
                </c:pt>
                <c:pt idx="7">
                  <c:v>-0.16454017991709499</c:v>
                </c:pt>
                <c:pt idx="8">
                  <c:v>-0.33284385988093301</c:v>
                </c:pt>
                <c:pt idx="9">
                  <c:v>-0.91343314132627296</c:v>
                </c:pt>
                <c:pt idx="10">
                  <c:v>-1.6792783070831787</c:v>
                </c:pt>
              </c:numCache>
            </c:numRef>
          </c:val>
          <c:smooth val="0"/>
          <c:extLst>
            <c:ext xmlns:c16="http://schemas.microsoft.com/office/drawing/2014/chart" uri="{C3380CC4-5D6E-409C-BE32-E72D297353CC}">
              <c16:uniqueId val="{00000004-6731-41F2-9EF9-47E448F86167}"/>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300kW'!$A$50</c:f>
          <c:strCache>
            <c:ptCount val="1"/>
            <c:pt idx="0">
              <c:v>Average price per tonne landed (£)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625B-4BA8-8F0C-CB87E04BA483}"/>
              </c:ext>
            </c:extLst>
          </c:dPt>
          <c:dPt>
            <c:idx val="10"/>
            <c:bubble3D val="0"/>
            <c:spPr>
              <a:ln w="57150">
                <a:solidFill>
                  <a:schemeClr val="accent4"/>
                </a:solidFill>
                <a:prstDash val="sysDot"/>
              </a:ln>
            </c:spPr>
            <c:extLst>
              <c:ext xmlns:c16="http://schemas.microsoft.com/office/drawing/2014/chart" uri="{C3380CC4-5D6E-409C-BE32-E72D297353CC}">
                <c16:uniqueId val="{00000003-625B-4BA8-8F0C-CB87E04BA483}"/>
              </c:ext>
            </c:extLst>
          </c:dPt>
          <c:cat>
            <c:numRef>
              <c:f>'NS beam trawl over 300kW'!$D$2:$M$2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over 300kW'!$D$20:$N$20</c:f>
              <c:numCache>
                <c:formatCode>#,##0</c:formatCode>
                <c:ptCount val="11"/>
                <c:pt idx="0">
                  <c:v>2175</c:v>
                </c:pt>
                <c:pt idx="1">
                  <c:v>1901</c:v>
                </c:pt>
                <c:pt idx="2">
                  <c:v>1746</c:v>
                </c:pt>
                <c:pt idx="3">
                  <c:v>1822</c:v>
                </c:pt>
                <c:pt idx="4">
                  <c:v>1990</c:v>
                </c:pt>
                <c:pt idx="5">
                  <c:v>2113</c:v>
                </c:pt>
                <c:pt idx="6">
                  <c:v>2042</c:v>
                </c:pt>
                <c:pt idx="7">
                  <c:v>2537</c:v>
                </c:pt>
                <c:pt idx="8">
                  <c:v>2199</c:v>
                </c:pt>
                <c:pt idx="9">
                  <c:v>1632</c:v>
                </c:pt>
                <c:pt idx="10">
                  <c:v>1184</c:v>
                </c:pt>
              </c:numCache>
            </c:numRef>
          </c:val>
          <c:smooth val="0"/>
          <c:extLst>
            <c:ext xmlns:c16="http://schemas.microsoft.com/office/drawing/2014/chart" uri="{C3380CC4-5D6E-409C-BE32-E72D297353CC}">
              <c16:uniqueId val="{00000004-625B-4BA8-8F0C-CB87E04BA483}"/>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300kW'!$K$62</c:f>
          <c:strCache>
            <c:ptCount val="1"/>
            <c:pt idx="0">
              <c:v>Average annual operating profit per vessel (£'000)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1E53-418B-AA89-E2193053E590}"/>
              </c:ext>
            </c:extLst>
          </c:dPt>
          <c:dPt>
            <c:idx val="10"/>
            <c:bubble3D val="0"/>
            <c:spPr>
              <a:ln w="57150">
                <a:solidFill>
                  <a:schemeClr val="accent5"/>
                </a:solidFill>
                <a:prstDash val="sysDot"/>
              </a:ln>
            </c:spPr>
            <c:extLst>
              <c:ext xmlns:c16="http://schemas.microsoft.com/office/drawing/2014/chart" uri="{C3380CC4-5D6E-409C-BE32-E72D297353CC}">
                <c16:uniqueId val="{00000003-1E53-418B-AA89-E2193053E590}"/>
              </c:ext>
            </c:extLst>
          </c:dPt>
          <c:cat>
            <c:numRef>
              <c:f>'NS beam trawl over 300kW'!$D$2:$M$2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over 300kW'!$D$37:$N$37</c:f>
              <c:numCache>
                <c:formatCode>#,##0.0</c:formatCode>
                <c:ptCount val="11"/>
                <c:pt idx="0">
                  <c:v>132.4</c:v>
                </c:pt>
                <c:pt idx="1">
                  <c:v>4.2</c:v>
                </c:pt>
                <c:pt idx="2">
                  <c:v>-101</c:v>
                </c:pt>
                <c:pt idx="3">
                  <c:v>-35.799999999999997</c:v>
                </c:pt>
                <c:pt idx="4">
                  <c:v>155.69999999999999</c:v>
                </c:pt>
                <c:pt idx="5">
                  <c:v>319.60000000000002</c:v>
                </c:pt>
                <c:pt idx="6">
                  <c:v>68</c:v>
                </c:pt>
                <c:pt idx="7">
                  <c:v>-57.8</c:v>
                </c:pt>
                <c:pt idx="8">
                  <c:v>-125.6</c:v>
                </c:pt>
                <c:pt idx="9">
                  <c:v>-328.6</c:v>
                </c:pt>
                <c:pt idx="10">
                  <c:v>-615.80000000000007</c:v>
                </c:pt>
              </c:numCache>
            </c:numRef>
          </c:val>
          <c:smooth val="0"/>
          <c:extLst>
            <c:ext xmlns:c16="http://schemas.microsoft.com/office/drawing/2014/chart" uri="{C3380CC4-5D6E-409C-BE32-E72D297353CC}">
              <c16:uniqueId val="{00000004-1E53-418B-AA89-E2193053E590}"/>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over 300kW'!$A$76</c:f>
          <c:strCache>
            <c:ptCount val="1"/>
            <c:pt idx="0">
              <c:v>Top 5 landed species by volume in 2020
North Sea beam trawl over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08AE-4B43-A0FD-0533BD0737B2}"/>
              </c:ext>
            </c:extLst>
          </c:dPt>
          <c:dPt>
            <c:idx val="1"/>
            <c:bubble3D val="0"/>
            <c:spPr>
              <a:solidFill>
                <a:srgbClr val="E87308"/>
              </a:solidFill>
              <a:ln>
                <a:solidFill>
                  <a:srgbClr val="FFFFFF"/>
                </a:solidFill>
              </a:ln>
            </c:spPr>
            <c:extLst>
              <c:ext xmlns:c16="http://schemas.microsoft.com/office/drawing/2014/chart" uri="{C3380CC4-5D6E-409C-BE32-E72D297353CC}">
                <c16:uniqueId val="{00000003-08AE-4B43-A0FD-0533BD0737B2}"/>
              </c:ext>
            </c:extLst>
          </c:dPt>
          <c:dPt>
            <c:idx val="2"/>
            <c:bubble3D val="0"/>
            <c:spPr>
              <a:solidFill>
                <a:srgbClr val="648C2E"/>
              </a:solidFill>
              <a:ln>
                <a:solidFill>
                  <a:srgbClr val="FFFFFF"/>
                </a:solidFill>
              </a:ln>
            </c:spPr>
            <c:extLst>
              <c:ext xmlns:c16="http://schemas.microsoft.com/office/drawing/2014/chart" uri="{C3380CC4-5D6E-409C-BE32-E72D297353CC}">
                <c16:uniqueId val="{00000005-08AE-4B43-A0FD-0533BD0737B2}"/>
              </c:ext>
            </c:extLst>
          </c:dPt>
          <c:dPt>
            <c:idx val="3"/>
            <c:bubble3D val="0"/>
            <c:spPr>
              <a:solidFill>
                <a:srgbClr val="E84A38"/>
              </a:solidFill>
              <a:ln>
                <a:solidFill>
                  <a:srgbClr val="FFFFFF"/>
                </a:solidFill>
              </a:ln>
            </c:spPr>
            <c:extLst>
              <c:ext xmlns:c16="http://schemas.microsoft.com/office/drawing/2014/chart" uri="{C3380CC4-5D6E-409C-BE32-E72D297353CC}">
                <c16:uniqueId val="{00000007-08AE-4B43-A0FD-0533BD0737B2}"/>
              </c:ext>
            </c:extLst>
          </c:dPt>
          <c:dPt>
            <c:idx val="4"/>
            <c:bubble3D val="0"/>
            <c:spPr>
              <a:solidFill>
                <a:srgbClr val="C1D119"/>
              </a:solidFill>
              <a:ln>
                <a:solidFill>
                  <a:srgbClr val="FFFFFF"/>
                </a:solidFill>
              </a:ln>
            </c:spPr>
            <c:extLst>
              <c:ext xmlns:c16="http://schemas.microsoft.com/office/drawing/2014/chart" uri="{C3380CC4-5D6E-409C-BE32-E72D297353CC}">
                <c16:uniqueId val="{00000009-08AE-4B43-A0FD-0533BD0737B2}"/>
              </c:ext>
            </c:extLst>
          </c:dPt>
          <c:dPt>
            <c:idx val="5"/>
            <c:bubble3D val="0"/>
            <c:spPr>
              <a:solidFill>
                <a:srgbClr val="55585A"/>
              </a:solidFill>
              <a:ln>
                <a:solidFill>
                  <a:srgbClr val="FFFFFF"/>
                </a:solidFill>
              </a:ln>
            </c:spPr>
            <c:extLst>
              <c:ext xmlns:c16="http://schemas.microsoft.com/office/drawing/2014/chart" uri="{C3380CC4-5D6E-409C-BE32-E72D297353CC}">
                <c16:uniqueId val="{0000000B-08AE-4B43-A0FD-0533BD0737B2}"/>
              </c:ext>
            </c:extLst>
          </c:dPt>
          <c:cat>
            <c:strRef>
              <c:f>'NS beam trawl over 300kW'!$B$77:$B$82</c:f>
              <c:strCache>
                <c:ptCount val="6"/>
                <c:pt idx="0">
                  <c:v>Plaice - 62.4%</c:v>
                </c:pt>
                <c:pt idx="1">
                  <c:v>Sole - 14.6%</c:v>
                </c:pt>
                <c:pt idx="2">
                  <c:v>Turbot - 6.9%</c:v>
                </c:pt>
                <c:pt idx="3">
                  <c:v>Dabs - 3.8%</c:v>
                </c:pt>
                <c:pt idx="4">
                  <c:v>Brill - 2.2%</c:v>
                </c:pt>
                <c:pt idx="5">
                  <c:v>Others - 10.1%</c:v>
                </c:pt>
              </c:strCache>
            </c:strRef>
          </c:cat>
          <c:val>
            <c:numRef>
              <c:f>'NS beam trawl over 300kW'!$C$77:$C$82</c:f>
              <c:numCache>
                <c:formatCode>0.0%</c:formatCode>
                <c:ptCount val="6"/>
                <c:pt idx="0">
                  <c:v>0.62437565942464368</c:v>
                </c:pt>
                <c:pt idx="1">
                  <c:v>0.14606368741389819</c:v>
                </c:pt>
                <c:pt idx="2">
                  <c:v>6.9016645911922844E-2</c:v>
                </c:pt>
                <c:pt idx="3">
                  <c:v>3.7678198995716547E-2</c:v>
                </c:pt>
                <c:pt idx="4">
                  <c:v>2.1862896396027044E-2</c:v>
                </c:pt>
                <c:pt idx="5">
                  <c:v>0.10100291185779176</c:v>
                </c:pt>
              </c:numCache>
            </c:numRef>
          </c:val>
          <c:extLst>
            <c:ext xmlns:c16="http://schemas.microsoft.com/office/drawing/2014/chart" uri="{C3380CC4-5D6E-409C-BE32-E72D297353CC}">
              <c16:uniqueId val="{0000000C-08AE-4B43-A0FD-0533BD0737B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over 300kW'!$F$76</c:f>
          <c:strCache>
            <c:ptCount val="1"/>
            <c:pt idx="0">
              <c:v>Top 5 landed species by value in 2020
North Sea beam trawl over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E201-45FB-9064-5C3764F2D718}"/>
              </c:ext>
            </c:extLst>
          </c:dPt>
          <c:dPt>
            <c:idx val="1"/>
            <c:bubble3D val="0"/>
            <c:spPr>
              <a:solidFill>
                <a:srgbClr val="E87308"/>
              </a:solidFill>
              <a:ln>
                <a:solidFill>
                  <a:srgbClr val="FFFFFF"/>
                </a:solidFill>
              </a:ln>
            </c:spPr>
            <c:extLst>
              <c:ext xmlns:c16="http://schemas.microsoft.com/office/drawing/2014/chart" uri="{C3380CC4-5D6E-409C-BE32-E72D297353CC}">
                <c16:uniqueId val="{00000003-E201-45FB-9064-5C3764F2D718}"/>
              </c:ext>
            </c:extLst>
          </c:dPt>
          <c:dPt>
            <c:idx val="2"/>
            <c:bubble3D val="0"/>
            <c:spPr>
              <a:solidFill>
                <a:srgbClr val="648C2E"/>
              </a:solidFill>
              <a:ln>
                <a:solidFill>
                  <a:srgbClr val="FFFFFF"/>
                </a:solidFill>
              </a:ln>
            </c:spPr>
            <c:extLst>
              <c:ext xmlns:c16="http://schemas.microsoft.com/office/drawing/2014/chart" uri="{C3380CC4-5D6E-409C-BE32-E72D297353CC}">
                <c16:uniqueId val="{00000005-E201-45FB-9064-5C3764F2D718}"/>
              </c:ext>
            </c:extLst>
          </c:dPt>
          <c:dPt>
            <c:idx val="3"/>
            <c:bubble3D val="0"/>
            <c:spPr>
              <a:solidFill>
                <a:srgbClr val="C1D119"/>
              </a:solidFill>
              <a:ln>
                <a:solidFill>
                  <a:srgbClr val="FFFFFF"/>
                </a:solidFill>
              </a:ln>
            </c:spPr>
            <c:extLst>
              <c:ext xmlns:c16="http://schemas.microsoft.com/office/drawing/2014/chart" uri="{C3380CC4-5D6E-409C-BE32-E72D297353CC}">
                <c16:uniqueId val="{00000007-E201-45FB-9064-5C3764F2D718}"/>
              </c:ext>
            </c:extLst>
          </c:dPt>
          <c:dPt>
            <c:idx val="4"/>
            <c:bubble3D val="0"/>
            <c:spPr>
              <a:solidFill>
                <a:srgbClr val="E84A38"/>
              </a:solidFill>
              <a:ln>
                <a:solidFill>
                  <a:srgbClr val="FFFFFF"/>
                </a:solidFill>
              </a:ln>
            </c:spPr>
            <c:extLst>
              <c:ext xmlns:c16="http://schemas.microsoft.com/office/drawing/2014/chart" uri="{C3380CC4-5D6E-409C-BE32-E72D297353CC}">
                <c16:uniqueId val="{00000009-E201-45FB-9064-5C3764F2D718}"/>
              </c:ext>
            </c:extLst>
          </c:dPt>
          <c:dPt>
            <c:idx val="5"/>
            <c:bubble3D val="0"/>
            <c:spPr>
              <a:solidFill>
                <a:srgbClr val="55585A"/>
              </a:solidFill>
              <a:ln>
                <a:solidFill>
                  <a:srgbClr val="FFFFFF"/>
                </a:solidFill>
              </a:ln>
            </c:spPr>
            <c:extLst>
              <c:ext xmlns:c16="http://schemas.microsoft.com/office/drawing/2014/chart" uri="{C3380CC4-5D6E-409C-BE32-E72D297353CC}">
                <c16:uniqueId val="{0000000B-E201-45FB-9064-5C3764F2D718}"/>
              </c:ext>
            </c:extLst>
          </c:dPt>
          <c:cat>
            <c:strRef>
              <c:f>'NS beam trawl over 300kW'!$G$77:$G$82</c:f>
              <c:strCache>
                <c:ptCount val="6"/>
                <c:pt idx="0">
                  <c:v>Plaice - 43.6%</c:v>
                </c:pt>
                <c:pt idx="1">
                  <c:v>Sole - 36.1%</c:v>
                </c:pt>
                <c:pt idx="2">
                  <c:v>Turbot - 10.5%</c:v>
                </c:pt>
                <c:pt idx="3">
                  <c:v>Brill - 3.0%</c:v>
                </c:pt>
                <c:pt idx="4">
                  <c:v>Dabs - 1.4%</c:v>
                </c:pt>
                <c:pt idx="5">
                  <c:v>Others - 5.4%</c:v>
                </c:pt>
              </c:strCache>
            </c:strRef>
          </c:cat>
          <c:val>
            <c:numRef>
              <c:f>'NS beam trawl over 300kW'!$H$77:$H$82</c:f>
              <c:numCache>
                <c:formatCode>0.0%</c:formatCode>
                <c:ptCount val="6"/>
                <c:pt idx="0">
                  <c:v>0.43639593070815041</c:v>
                </c:pt>
                <c:pt idx="1">
                  <c:v>0.36119309760043822</c:v>
                </c:pt>
                <c:pt idx="2">
                  <c:v>0.10471604921043322</c:v>
                </c:pt>
                <c:pt idx="3">
                  <c:v>2.9914002492005543E-2</c:v>
                </c:pt>
                <c:pt idx="4">
                  <c:v>1.4118825065367206E-2</c:v>
                </c:pt>
                <c:pt idx="5">
                  <c:v>5.3662094923605297E-2</c:v>
                </c:pt>
              </c:numCache>
            </c:numRef>
          </c:val>
          <c:extLst>
            <c:ext xmlns:c16="http://schemas.microsoft.com/office/drawing/2014/chart" uri="{C3380CC4-5D6E-409C-BE32-E72D297353CC}">
              <c16:uniqueId val="{0000000C-E201-45FB-9064-5C3764F2D71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over 300kW'!$K$77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 beam trawl over 300kW'!$C$92</c:f>
              <c:strCache>
                <c:ptCount val="1"/>
                <c:pt idx="0">
                  <c:v>Plaice</c:v>
                </c:pt>
              </c:strCache>
            </c:strRef>
          </c:tx>
          <c:spPr>
            <a:solidFill>
              <a:srgbClr val="2273B9"/>
            </a:solidFill>
            <a:ln>
              <a:solidFill>
                <a:srgbClr val="FFFFFF"/>
              </a:solidFill>
            </a:ln>
          </c:spPr>
          <c:invertIfNegative val="0"/>
          <c:cat>
            <c:numRef>
              <c:f>'NS beam trawl over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over 300kW'!$D$92:$M$92</c:f>
              <c:numCache>
                <c:formatCode>0%</c:formatCode>
                <c:ptCount val="10"/>
                <c:pt idx="0">
                  <c:v>0.76045664686255809</c:v>
                </c:pt>
                <c:pt idx="1">
                  <c:v>0.60728518412264054</c:v>
                </c:pt>
                <c:pt idx="2">
                  <c:v>0.56732239820548225</c:v>
                </c:pt>
                <c:pt idx="3">
                  <c:v>0.61144307623912608</c:v>
                </c:pt>
                <c:pt idx="4">
                  <c:v>0.63308344299469987</c:v>
                </c:pt>
                <c:pt idx="5">
                  <c:v>0.6324403583566548</c:v>
                </c:pt>
                <c:pt idx="6">
                  <c:v>0.58373818731099447</c:v>
                </c:pt>
                <c:pt idx="7">
                  <c:v>0.6141269076027156</c:v>
                </c:pt>
                <c:pt idx="8">
                  <c:v>0.43639593070815041</c:v>
                </c:pt>
                <c:pt idx="9">
                  <c:v>0.44581291898904657</c:v>
                </c:pt>
              </c:numCache>
            </c:numRef>
          </c:val>
          <c:extLst>
            <c:ext xmlns:c16="http://schemas.microsoft.com/office/drawing/2014/chart" uri="{C3380CC4-5D6E-409C-BE32-E72D297353CC}">
              <c16:uniqueId val="{00000000-328C-4C5D-8971-4D5B593A626F}"/>
            </c:ext>
          </c:extLst>
        </c:ser>
        <c:ser>
          <c:idx val="1"/>
          <c:order val="1"/>
          <c:tx>
            <c:strRef>
              <c:f>'NS beam trawl over 300kW'!$C$93</c:f>
              <c:strCache>
                <c:ptCount val="1"/>
                <c:pt idx="0">
                  <c:v>Sole</c:v>
                </c:pt>
              </c:strCache>
            </c:strRef>
          </c:tx>
          <c:spPr>
            <a:solidFill>
              <a:srgbClr val="E87308"/>
            </a:solidFill>
            <a:ln>
              <a:solidFill>
                <a:srgbClr val="FFFFFF"/>
              </a:solidFill>
            </a:ln>
          </c:spPr>
          <c:invertIfNegative val="0"/>
          <c:cat>
            <c:numRef>
              <c:f>'NS beam trawl over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over 300kW'!$D$93:$M$93</c:f>
              <c:numCache>
                <c:formatCode>0%</c:formatCode>
                <c:ptCount val="10"/>
                <c:pt idx="0">
                  <c:v>0.10865999785301753</c:v>
                </c:pt>
                <c:pt idx="1">
                  <c:v>0.21436602156158507</c:v>
                </c:pt>
                <c:pt idx="2">
                  <c:v>0.24871472857069629</c:v>
                </c:pt>
                <c:pt idx="3">
                  <c:v>0.24349591157324815</c:v>
                </c:pt>
                <c:pt idx="4">
                  <c:v>0.21811155627052076</c:v>
                </c:pt>
                <c:pt idx="5">
                  <c:v>0.18940823836145826</c:v>
                </c:pt>
                <c:pt idx="6">
                  <c:v>0.21201163599933345</c:v>
                </c:pt>
                <c:pt idx="7">
                  <c:v>0.1870710277959243</c:v>
                </c:pt>
                <c:pt idx="8">
                  <c:v>0.36119309760043822</c:v>
                </c:pt>
                <c:pt idx="9">
                  <c:v>0.21594582685634603</c:v>
                </c:pt>
              </c:numCache>
            </c:numRef>
          </c:val>
          <c:extLst>
            <c:ext xmlns:c16="http://schemas.microsoft.com/office/drawing/2014/chart" uri="{C3380CC4-5D6E-409C-BE32-E72D297353CC}">
              <c16:uniqueId val="{00000001-328C-4C5D-8971-4D5B593A626F}"/>
            </c:ext>
          </c:extLst>
        </c:ser>
        <c:ser>
          <c:idx val="2"/>
          <c:order val="2"/>
          <c:tx>
            <c:strRef>
              <c:f>'NS beam trawl over 300kW'!$C$94</c:f>
              <c:strCache>
                <c:ptCount val="1"/>
                <c:pt idx="0">
                  <c:v>Turbot</c:v>
                </c:pt>
              </c:strCache>
            </c:strRef>
          </c:tx>
          <c:spPr>
            <a:solidFill>
              <a:srgbClr val="648C2E"/>
            </a:solidFill>
            <a:ln>
              <a:solidFill>
                <a:srgbClr val="FFFFFF"/>
              </a:solidFill>
            </a:ln>
          </c:spPr>
          <c:invertIfNegative val="0"/>
          <c:cat>
            <c:numRef>
              <c:f>'NS beam trawl over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over 300kW'!$D$94:$M$94</c:f>
              <c:numCache>
                <c:formatCode>0%</c:formatCode>
                <c:ptCount val="10"/>
                <c:pt idx="0">
                  <c:v>6.389568900357287E-2</c:v>
                </c:pt>
                <c:pt idx="1">
                  <c:v>9.1265225932750729E-2</c:v>
                </c:pt>
                <c:pt idx="2">
                  <c:v>9.8087758821706089E-2</c:v>
                </c:pt>
                <c:pt idx="3">
                  <c:v>6.7248349211095654E-2</c:v>
                </c:pt>
                <c:pt idx="4">
                  <c:v>6.9567226968196449E-2</c:v>
                </c:pt>
                <c:pt idx="5">
                  <c:v>8.7140264736357012E-2</c:v>
                </c:pt>
                <c:pt idx="6">
                  <c:v>0.1053274513389376</c:v>
                </c:pt>
                <c:pt idx="7">
                  <c:v>0.10769860192298364</c:v>
                </c:pt>
                <c:pt idx="8">
                  <c:v>0.10471604921043322</c:v>
                </c:pt>
                <c:pt idx="9">
                  <c:v>0.1738927649201385</c:v>
                </c:pt>
              </c:numCache>
            </c:numRef>
          </c:val>
          <c:extLst>
            <c:ext xmlns:c16="http://schemas.microsoft.com/office/drawing/2014/chart" uri="{C3380CC4-5D6E-409C-BE32-E72D297353CC}">
              <c16:uniqueId val="{00000002-328C-4C5D-8971-4D5B593A626F}"/>
            </c:ext>
          </c:extLst>
        </c:ser>
        <c:ser>
          <c:idx val="3"/>
          <c:order val="3"/>
          <c:tx>
            <c:strRef>
              <c:f>'NS beam trawl over 300kW'!$C$95</c:f>
              <c:strCache>
                <c:ptCount val="1"/>
                <c:pt idx="0">
                  <c:v>Brill</c:v>
                </c:pt>
              </c:strCache>
            </c:strRef>
          </c:tx>
          <c:spPr>
            <a:solidFill>
              <a:srgbClr val="C1D119"/>
            </a:solidFill>
            <a:ln>
              <a:solidFill>
                <a:srgbClr val="FFFFFF"/>
              </a:solidFill>
            </a:ln>
          </c:spPr>
          <c:invertIfNegative val="0"/>
          <c:cat>
            <c:numRef>
              <c:f>'NS beam trawl over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over 300kW'!$D$95:$M$95</c:f>
              <c:numCache>
                <c:formatCode>0%</c:formatCode>
                <c:ptCount val="10"/>
                <c:pt idx="0">
                  <c:v>1.6398361953304869E-2</c:v>
                </c:pt>
                <c:pt idx="1">
                  <c:v>2.68597304623709E-2</c:v>
                </c:pt>
                <c:pt idx="2">
                  <c:v>2.9303678645102822E-2</c:v>
                </c:pt>
                <c:pt idx="3">
                  <c:v>2.2720030122114532E-2</c:v>
                </c:pt>
                <c:pt idx="4">
                  <c:v>2.5137627751856531E-2</c:v>
                </c:pt>
                <c:pt idx="5">
                  <c:v>2.8458328704258972E-2</c:v>
                </c:pt>
                <c:pt idx="6">
                  <c:v>3.0585245774404385E-2</c:v>
                </c:pt>
                <c:pt idx="7">
                  <c:v>2.4169951874121569E-2</c:v>
                </c:pt>
                <c:pt idx="8">
                  <c:v>2.9914002492005543E-2</c:v>
                </c:pt>
                <c:pt idx="9">
                  <c:v>3.249905593092136E-2</c:v>
                </c:pt>
              </c:numCache>
            </c:numRef>
          </c:val>
          <c:extLst>
            <c:ext xmlns:c16="http://schemas.microsoft.com/office/drawing/2014/chart" uri="{C3380CC4-5D6E-409C-BE32-E72D297353CC}">
              <c16:uniqueId val="{00000003-328C-4C5D-8971-4D5B593A626F}"/>
            </c:ext>
          </c:extLst>
        </c:ser>
        <c:ser>
          <c:idx val="4"/>
          <c:order val="4"/>
          <c:tx>
            <c:strRef>
              <c:f>'NS beam trawl over 300kW'!$C$96</c:f>
              <c:strCache>
                <c:ptCount val="1"/>
                <c:pt idx="0">
                  <c:v>Dabs</c:v>
                </c:pt>
              </c:strCache>
            </c:strRef>
          </c:tx>
          <c:spPr>
            <a:solidFill>
              <a:srgbClr val="E84A38"/>
            </a:solidFill>
            <a:ln>
              <a:solidFill>
                <a:srgbClr val="FFFFFF"/>
              </a:solidFill>
            </a:ln>
          </c:spPr>
          <c:invertIfNegative val="0"/>
          <c:cat>
            <c:numRef>
              <c:f>'NS beam trawl over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over 300kW'!$D$96:$M$96</c:f>
              <c:numCache>
                <c:formatCode>0%</c:formatCode>
                <c:ptCount val="10"/>
                <c:pt idx="8">
                  <c:v>1.4118825065367206E-2</c:v>
                </c:pt>
              </c:numCache>
            </c:numRef>
          </c:val>
          <c:extLst>
            <c:ext xmlns:c16="http://schemas.microsoft.com/office/drawing/2014/chart" uri="{C3380CC4-5D6E-409C-BE32-E72D297353CC}">
              <c16:uniqueId val="{00000004-328C-4C5D-8971-4D5B593A626F}"/>
            </c:ext>
          </c:extLst>
        </c:ser>
        <c:ser>
          <c:idx val="5"/>
          <c:order val="5"/>
          <c:tx>
            <c:strRef>
              <c:f>'NS beam trawl over 300kW'!$C$97</c:f>
              <c:strCache>
                <c:ptCount val="1"/>
                <c:pt idx="0">
                  <c:v>Brown Crab</c:v>
                </c:pt>
              </c:strCache>
            </c:strRef>
          </c:tx>
          <c:spPr>
            <a:solidFill>
              <a:srgbClr val="0F9AA9"/>
            </a:solidFill>
            <a:ln>
              <a:solidFill>
                <a:srgbClr val="FFFFFF"/>
              </a:solidFill>
            </a:ln>
          </c:spPr>
          <c:invertIfNegative val="0"/>
          <c:cat>
            <c:numRef>
              <c:f>'NS beam trawl over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over 300kW'!$D$97:$M$97</c:f>
              <c:numCache>
                <c:formatCode>0%</c:formatCode>
                <c:ptCount val="10"/>
                <c:pt idx="9">
                  <c:v>4.0302236422596137E-2</c:v>
                </c:pt>
              </c:numCache>
            </c:numRef>
          </c:val>
          <c:extLst>
            <c:ext xmlns:c16="http://schemas.microsoft.com/office/drawing/2014/chart" uri="{C3380CC4-5D6E-409C-BE32-E72D297353CC}">
              <c16:uniqueId val="{00000005-328C-4C5D-8971-4D5B593A626F}"/>
            </c:ext>
          </c:extLst>
        </c:ser>
        <c:ser>
          <c:idx val="6"/>
          <c:order val="6"/>
          <c:tx>
            <c:strRef>
              <c:f>'NS beam trawl over 300kW'!$C$98</c:f>
              <c:strCache>
                <c:ptCount val="1"/>
                <c:pt idx="0">
                  <c:v>Lemon Sole</c:v>
                </c:pt>
              </c:strCache>
            </c:strRef>
          </c:tx>
          <c:spPr>
            <a:solidFill>
              <a:srgbClr val="FED825"/>
            </a:solidFill>
            <a:ln>
              <a:solidFill>
                <a:srgbClr val="FFFFFF"/>
              </a:solidFill>
            </a:ln>
          </c:spPr>
          <c:invertIfNegative val="0"/>
          <c:cat>
            <c:numRef>
              <c:f>'NS beam trawl over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over 300kW'!$D$98:$M$98</c:f>
              <c:numCache>
                <c:formatCode>0%</c:formatCode>
                <c:ptCount val="10"/>
                <c:pt idx="0">
                  <c:v>1.7083189914302514E-2</c:v>
                </c:pt>
                <c:pt idx="1">
                  <c:v>2.263898476694105E-2</c:v>
                </c:pt>
                <c:pt idx="2">
                  <c:v>2.5202441287532809E-2</c:v>
                </c:pt>
                <c:pt idx="3">
                  <c:v>2.7082498270080774E-2</c:v>
                </c:pt>
                <c:pt idx="4">
                  <c:v>2.3046375667735031E-2</c:v>
                </c:pt>
                <c:pt idx="5">
                  <c:v>2.8785507185359726E-2</c:v>
                </c:pt>
                <c:pt idx="6">
                  <c:v>2.1025521728858163E-2</c:v>
                </c:pt>
                <c:pt idx="7">
                  <c:v>1.9426674001319373E-2</c:v>
                </c:pt>
              </c:numCache>
            </c:numRef>
          </c:val>
          <c:extLst>
            <c:ext xmlns:c16="http://schemas.microsoft.com/office/drawing/2014/chart" uri="{C3380CC4-5D6E-409C-BE32-E72D297353CC}">
              <c16:uniqueId val="{00000006-328C-4C5D-8971-4D5B593A626F}"/>
            </c:ext>
          </c:extLst>
        </c:ser>
        <c:ser>
          <c:idx val="7"/>
          <c:order val="7"/>
          <c:tx>
            <c:strRef>
              <c:f>'NS beam trawl over 300kW'!$C$99</c:f>
              <c:strCache>
                <c:ptCount val="1"/>
                <c:pt idx="0">
                  <c:v>Others</c:v>
                </c:pt>
              </c:strCache>
            </c:strRef>
          </c:tx>
          <c:spPr>
            <a:solidFill>
              <a:srgbClr val="55585A"/>
            </a:solidFill>
            <a:ln>
              <a:solidFill>
                <a:srgbClr val="FFFFFF"/>
              </a:solidFill>
            </a:ln>
          </c:spPr>
          <c:invertIfNegative val="0"/>
          <c:cat>
            <c:numRef>
              <c:f>'NS beam trawl over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over 300kW'!$D$99:$M$99</c:f>
              <c:numCache>
                <c:formatCode>0%</c:formatCode>
                <c:ptCount val="10"/>
                <c:pt idx="0">
                  <c:v>3.350611441324413E-2</c:v>
                </c:pt>
                <c:pt idx="1">
                  <c:v>3.7584853153711691E-2</c:v>
                </c:pt>
                <c:pt idx="2">
                  <c:v>3.1368994469479793E-2</c:v>
                </c:pt>
                <c:pt idx="3">
                  <c:v>2.8010134584334784E-2</c:v>
                </c:pt>
                <c:pt idx="4">
                  <c:v>3.105377034699134E-2</c:v>
                </c:pt>
                <c:pt idx="5">
                  <c:v>3.3767302655911283E-2</c:v>
                </c:pt>
                <c:pt idx="6">
                  <c:v>4.7311957847471942E-2</c:v>
                </c:pt>
                <c:pt idx="7">
                  <c:v>4.7506836802935527E-2</c:v>
                </c:pt>
                <c:pt idx="8">
                  <c:v>5.3662094923605401E-2</c:v>
                </c:pt>
                <c:pt idx="9">
                  <c:v>9.1547196880951406E-2</c:v>
                </c:pt>
              </c:numCache>
            </c:numRef>
          </c:val>
          <c:extLst>
            <c:ext xmlns:c16="http://schemas.microsoft.com/office/drawing/2014/chart" uri="{C3380CC4-5D6E-409C-BE32-E72D297353CC}">
              <c16:uniqueId val="{00000007-328C-4C5D-8971-4D5B593A626F}"/>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 beam trawl over 300kW'!$B$162</c:f>
              <c:strCache>
                <c:ptCount val="1"/>
                <c:pt idx="0">
                  <c:v>Plaice</c:v>
                </c:pt>
              </c:strCache>
            </c:strRef>
          </c:tx>
          <c:spPr>
            <a:solidFill>
              <a:srgbClr val="2273B9"/>
            </a:solidFill>
            <a:ln>
              <a:solidFill>
                <a:srgbClr val="FFFFFF"/>
              </a:solidFill>
            </a:ln>
          </c:spPr>
          <c:invertIfNegative val="0"/>
          <c:cat>
            <c:strRef>
              <c:f>'NS beam trawl over 300kW'!$C$161:$E$161</c:f>
              <c:strCache>
                <c:ptCount val="3"/>
                <c:pt idx="0">
                  <c:v>Most
profitable
quartile</c:v>
                </c:pt>
                <c:pt idx="1">
                  <c:v>Middle 
two quartiles</c:v>
                </c:pt>
                <c:pt idx="2">
                  <c:v>Least
profitable
quartile</c:v>
                </c:pt>
              </c:strCache>
            </c:strRef>
          </c:cat>
          <c:val>
            <c:numRef>
              <c:f>'NS beam trawl over 300kW'!$C$162:$E$162</c:f>
              <c:numCache>
                <c:formatCode>0%</c:formatCode>
                <c:ptCount val="3"/>
                <c:pt idx="0">
                  <c:v>0</c:v>
                </c:pt>
                <c:pt idx="1">
                  <c:v>0</c:v>
                </c:pt>
                <c:pt idx="2">
                  <c:v>0</c:v>
                </c:pt>
              </c:numCache>
            </c:numRef>
          </c:val>
          <c:extLst>
            <c:ext xmlns:c16="http://schemas.microsoft.com/office/drawing/2014/chart" uri="{C3380CC4-5D6E-409C-BE32-E72D297353CC}">
              <c16:uniqueId val="{00000000-4049-4189-B3BA-AA9C213F9693}"/>
            </c:ext>
          </c:extLst>
        </c:ser>
        <c:ser>
          <c:idx val="1"/>
          <c:order val="1"/>
          <c:tx>
            <c:strRef>
              <c:f>'NS beam trawl over 300kW'!$B$163</c:f>
              <c:strCache>
                <c:ptCount val="1"/>
                <c:pt idx="0">
                  <c:v>Sole</c:v>
                </c:pt>
              </c:strCache>
            </c:strRef>
          </c:tx>
          <c:spPr>
            <a:solidFill>
              <a:srgbClr val="E87308"/>
            </a:solidFill>
            <a:ln>
              <a:solidFill>
                <a:srgbClr val="FFFFFF"/>
              </a:solidFill>
            </a:ln>
          </c:spPr>
          <c:invertIfNegative val="0"/>
          <c:cat>
            <c:strRef>
              <c:f>'NS beam trawl over 300kW'!$C$161:$E$161</c:f>
              <c:strCache>
                <c:ptCount val="3"/>
                <c:pt idx="0">
                  <c:v>Most
profitable
quartile</c:v>
                </c:pt>
                <c:pt idx="1">
                  <c:v>Middle 
two quartiles</c:v>
                </c:pt>
                <c:pt idx="2">
                  <c:v>Least
profitable
quartile</c:v>
                </c:pt>
              </c:strCache>
            </c:strRef>
          </c:cat>
          <c:val>
            <c:numRef>
              <c:f>'NS beam trawl over 300kW'!$C$163:$E$163</c:f>
              <c:numCache>
                <c:formatCode>0%</c:formatCode>
                <c:ptCount val="3"/>
                <c:pt idx="0">
                  <c:v>0</c:v>
                </c:pt>
                <c:pt idx="1">
                  <c:v>0</c:v>
                </c:pt>
                <c:pt idx="2">
                  <c:v>0</c:v>
                </c:pt>
              </c:numCache>
            </c:numRef>
          </c:val>
          <c:extLst>
            <c:ext xmlns:c16="http://schemas.microsoft.com/office/drawing/2014/chart" uri="{C3380CC4-5D6E-409C-BE32-E72D297353CC}">
              <c16:uniqueId val="{00000001-4049-4189-B3BA-AA9C213F9693}"/>
            </c:ext>
          </c:extLst>
        </c:ser>
        <c:ser>
          <c:idx val="2"/>
          <c:order val="2"/>
          <c:tx>
            <c:strRef>
              <c:f>'NS beam trawl over 300kW'!$B$164</c:f>
              <c:strCache>
                <c:ptCount val="1"/>
                <c:pt idx="0">
                  <c:v>Turbot</c:v>
                </c:pt>
              </c:strCache>
            </c:strRef>
          </c:tx>
          <c:spPr>
            <a:solidFill>
              <a:srgbClr val="648C2E"/>
            </a:solidFill>
            <a:ln>
              <a:solidFill>
                <a:srgbClr val="FFFFFF"/>
              </a:solidFill>
            </a:ln>
          </c:spPr>
          <c:invertIfNegative val="0"/>
          <c:cat>
            <c:strRef>
              <c:f>'NS beam trawl over 300kW'!$C$161:$E$161</c:f>
              <c:strCache>
                <c:ptCount val="3"/>
                <c:pt idx="0">
                  <c:v>Most
profitable
quartile</c:v>
                </c:pt>
                <c:pt idx="1">
                  <c:v>Middle 
two quartiles</c:v>
                </c:pt>
                <c:pt idx="2">
                  <c:v>Least
profitable
quartile</c:v>
                </c:pt>
              </c:strCache>
            </c:strRef>
          </c:cat>
          <c:val>
            <c:numRef>
              <c:f>'NS beam trawl over 300kW'!$C$164:$E$164</c:f>
              <c:numCache>
                <c:formatCode>0%</c:formatCode>
                <c:ptCount val="3"/>
                <c:pt idx="0">
                  <c:v>0</c:v>
                </c:pt>
                <c:pt idx="1">
                  <c:v>0</c:v>
                </c:pt>
                <c:pt idx="2">
                  <c:v>0</c:v>
                </c:pt>
              </c:numCache>
            </c:numRef>
          </c:val>
          <c:extLst>
            <c:ext xmlns:c16="http://schemas.microsoft.com/office/drawing/2014/chart" uri="{C3380CC4-5D6E-409C-BE32-E72D297353CC}">
              <c16:uniqueId val="{00000002-4049-4189-B3BA-AA9C213F9693}"/>
            </c:ext>
          </c:extLst>
        </c:ser>
        <c:ser>
          <c:idx val="3"/>
          <c:order val="3"/>
          <c:tx>
            <c:strRef>
              <c:f>'NS beam trawl over 300kW'!$B$165</c:f>
              <c:strCache>
                <c:ptCount val="1"/>
                <c:pt idx="0">
                  <c:v>Dabs</c:v>
                </c:pt>
              </c:strCache>
            </c:strRef>
          </c:tx>
          <c:spPr>
            <a:solidFill>
              <a:srgbClr val="E84A38"/>
            </a:solidFill>
            <a:ln>
              <a:solidFill>
                <a:srgbClr val="FFFFFF"/>
              </a:solidFill>
            </a:ln>
          </c:spPr>
          <c:invertIfNegative val="0"/>
          <c:cat>
            <c:strRef>
              <c:f>'NS beam trawl over 300kW'!$C$161:$E$161</c:f>
              <c:strCache>
                <c:ptCount val="3"/>
                <c:pt idx="0">
                  <c:v>Most
profitable
quartile</c:v>
                </c:pt>
                <c:pt idx="1">
                  <c:v>Middle 
two quartiles</c:v>
                </c:pt>
                <c:pt idx="2">
                  <c:v>Least
profitable
quartile</c:v>
                </c:pt>
              </c:strCache>
            </c:strRef>
          </c:cat>
          <c:val>
            <c:numRef>
              <c:f>'NS beam trawl over 300kW'!$C$165:$E$165</c:f>
              <c:numCache>
                <c:formatCode>0%</c:formatCode>
                <c:ptCount val="3"/>
                <c:pt idx="0">
                  <c:v>0</c:v>
                </c:pt>
                <c:pt idx="1">
                  <c:v>0</c:v>
                </c:pt>
                <c:pt idx="2">
                  <c:v>0</c:v>
                </c:pt>
              </c:numCache>
            </c:numRef>
          </c:val>
          <c:extLst>
            <c:ext xmlns:c16="http://schemas.microsoft.com/office/drawing/2014/chart" uri="{C3380CC4-5D6E-409C-BE32-E72D297353CC}">
              <c16:uniqueId val="{00000003-4049-4189-B3BA-AA9C213F9693}"/>
            </c:ext>
          </c:extLst>
        </c:ser>
        <c:ser>
          <c:idx val="4"/>
          <c:order val="4"/>
          <c:tx>
            <c:strRef>
              <c:f>'NS beam trawl over 300kW'!$B$166</c:f>
              <c:strCache>
                <c:ptCount val="1"/>
                <c:pt idx="0">
                  <c:v>Brill</c:v>
                </c:pt>
              </c:strCache>
            </c:strRef>
          </c:tx>
          <c:spPr>
            <a:solidFill>
              <a:srgbClr val="C1D119"/>
            </a:solidFill>
            <a:ln>
              <a:solidFill>
                <a:srgbClr val="FFFFFF"/>
              </a:solidFill>
            </a:ln>
          </c:spPr>
          <c:invertIfNegative val="0"/>
          <c:cat>
            <c:strRef>
              <c:f>'NS beam trawl over 300kW'!$C$161:$E$161</c:f>
              <c:strCache>
                <c:ptCount val="3"/>
                <c:pt idx="0">
                  <c:v>Most
profitable
quartile</c:v>
                </c:pt>
                <c:pt idx="1">
                  <c:v>Middle 
two quartiles</c:v>
                </c:pt>
                <c:pt idx="2">
                  <c:v>Least
profitable
quartile</c:v>
                </c:pt>
              </c:strCache>
            </c:strRef>
          </c:cat>
          <c:val>
            <c:numRef>
              <c:f>'NS beam trawl over 300kW'!$C$166:$E$166</c:f>
              <c:numCache>
                <c:formatCode>0%</c:formatCode>
                <c:ptCount val="3"/>
                <c:pt idx="0">
                  <c:v>0</c:v>
                </c:pt>
                <c:pt idx="1">
                  <c:v>0</c:v>
                </c:pt>
                <c:pt idx="2">
                  <c:v>0</c:v>
                </c:pt>
              </c:numCache>
            </c:numRef>
          </c:val>
          <c:extLst>
            <c:ext xmlns:c16="http://schemas.microsoft.com/office/drawing/2014/chart" uri="{C3380CC4-5D6E-409C-BE32-E72D297353CC}">
              <c16:uniqueId val="{00000004-4049-4189-B3BA-AA9C213F9693}"/>
            </c:ext>
          </c:extLst>
        </c:ser>
        <c:ser>
          <c:idx val="5"/>
          <c:order val="5"/>
          <c:tx>
            <c:strRef>
              <c:f>'NS beam trawl over 300kW'!$B$167</c:f>
              <c:strCache>
                <c:ptCount val="1"/>
                <c:pt idx="0">
                  <c:v>Tub Gurnard</c:v>
                </c:pt>
              </c:strCache>
            </c:strRef>
          </c:tx>
          <c:spPr>
            <a:solidFill>
              <a:srgbClr val="FED825"/>
            </a:solidFill>
            <a:ln>
              <a:solidFill>
                <a:srgbClr val="FFFFFF"/>
              </a:solidFill>
            </a:ln>
          </c:spPr>
          <c:invertIfNegative val="0"/>
          <c:cat>
            <c:strRef>
              <c:f>'NS beam trawl over 300kW'!$C$161:$E$161</c:f>
              <c:strCache>
                <c:ptCount val="3"/>
                <c:pt idx="0">
                  <c:v>Most
profitable
quartile</c:v>
                </c:pt>
                <c:pt idx="1">
                  <c:v>Middle 
two quartiles</c:v>
                </c:pt>
                <c:pt idx="2">
                  <c:v>Least
profitable
quartile</c:v>
                </c:pt>
              </c:strCache>
            </c:strRef>
          </c:cat>
          <c:val>
            <c:numRef>
              <c:f>'NS beam trawl over 300kW'!$C$167:$E$167</c:f>
              <c:numCache>
                <c:formatCode>0%</c:formatCode>
                <c:ptCount val="3"/>
                <c:pt idx="0">
                  <c:v>0</c:v>
                </c:pt>
                <c:pt idx="1">
                  <c:v>0</c:v>
                </c:pt>
                <c:pt idx="2">
                  <c:v>0</c:v>
                </c:pt>
              </c:numCache>
            </c:numRef>
          </c:val>
          <c:extLst>
            <c:ext xmlns:c16="http://schemas.microsoft.com/office/drawing/2014/chart" uri="{C3380CC4-5D6E-409C-BE32-E72D297353CC}">
              <c16:uniqueId val="{00000005-4049-4189-B3BA-AA9C213F9693}"/>
            </c:ext>
          </c:extLst>
        </c:ser>
        <c:ser>
          <c:idx val="6"/>
          <c:order val="6"/>
          <c:tx>
            <c:strRef>
              <c:f>'NS beam trawl over 300kW'!$B$168</c:f>
              <c:strCache>
                <c:ptCount val="1"/>
                <c:pt idx="0">
                  <c:v>Others</c:v>
                </c:pt>
              </c:strCache>
            </c:strRef>
          </c:tx>
          <c:spPr>
            <a:solidFill>
              <a:srgbClr val="55585A"/>
            </a:solidFill>
            <a:ln>
              <a:solidFill>
                <a:srgbClr val="FFFFFF"/>
              </a:solidFill>
            </a:ln>
          </c:spPr>
          <c:invertIfNegative val="0"/>
          <c:cat>
            <c:strRef>
              <c:f>'NS beam trawl over 300kW'!$C$161:$E$161</c:f>
              <c:strCache>
                <c:ptCount val="3"/>
                <c:pt idx="0">
                  <c:v>Most
profitable
quartile</c:v>
                </c:pt>
                <c:pt idx="1">
                  <c:v>Middle 
two quartiles</c:v>
                </c:pt>
                <c:pt idx="2">
                  <c:v>Least
profitable
quartile</c:v>
                </c:pt>
              </c:strCache>
            </c:strRef>
          </c:cat>
          <c:val>
            <c:numRef>
              <c:f>'NS beam trawl over 300kW'!$C$168:$E$168</c:f>
              <c:numCache>
                <c:formatCode>0%</c:formatCode>
                <c:ptCount val="3"/>
                <c:pt idx="0">
                  <c:v>0</c:v>
                </c:pt>
                <c:pt idx="1">
                  <c:v>0</c:v>
                </c:pt>
                <c:pt idx="2">
                  <c:v>0</c:v>
                </c:pt>
              </c:numCache>
            </c:numRef>
          </c:val>
          <c:extLst>
            <c:ext xmlns:c16="http://schemas.microsoft.com/office/drawing/2014/chart" uri="{C3380CC4-5D6E-409C-BE32-E72D297353CC}">
              <c16:uniqueId val="{00000006-4049-4189-B3BA-AA9C213F9693}"/>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 beam trawl over 300kW'!$H$162</c:f>
              <c:strCache>
                <c:ptCount val="1"/>
                <c:pt idx="0">
                  <c:v>Plaice</c:v>
                </c:pt>
              </c:strCache>
            </c:strRef>
          </c:tx>
          <c:spPr>
            <a:solidFill>
              <a:srgbClr val="2273B9"/>
            </a:solidFill>
            <a:ln>
              <a:solidFill>
                <a:srgbClr val="FFFFFF"/>
              </a:solidFill>
            </a:ln>
          </c:spPr>
          <c:invertIfNegative val="0"/>
          <c:cat>
            <c:strRef>
              <c:f>'NS beam trawl over 300kW'!$I$161:$K$161</c:f>
              <c:strCache>
                <c:ptCount val="3"/>
                <c:pt idx="0">
                  <c:v>Most
profitable
quartile</c:v>
                </c:pt>
                <c:pt idx="1">
                  <c:v>Middle 
two quartiles</c:v>
                </c:pt>
                <c:pt idx="2">
                  <c:v>Least
profitable
quartile</c:v>
                </c:pt>
              </c:strCache>
            </c:strRef>
          </c:cat>
          <c:val>
            <c:numRef>
              <c:f>'NS beam trawl over 300kW'!$I$162:$K$162</c:f>
              <c:numCache>
                <c:formatCode>0%</c:formatCode>
                <c:ptCount val="3"/>
                <c:pt idx="0">
                  <c:v>0</c:v>
                </c:pt>
                <c:pt idx="1">
                  <c:v>0</c:v>
                </c:pt>
                <c:pt idx="2">
                  <c:v>0</c:v>
                </c:pt>
              </c:numCache>
            </c:numRef>
          </c:val>
          <c:extLst>
            <c:ext xmlns:c16="http://schemas.microsoft.com/office/drawing/2014/chart" uri="{C3380CC4-5D6E-409C-BE32-E72D297353CC}">
              <c16:uniqueId val="{00000000-B8DB-4C4B-B5BF-D3E60A39BCC8}"/>
            </c:ext>
          </c:extLst>
        </c:ser>
        <c:ser>
          <c:idx val="1"/>
          <c:order val="1"/>
          <c:tx>
            <c:strRef>
              <c:f>'NS beam trawl over 300kW'!$H$163</c:f>
              <c:strCache>
                <c:ptCount val="1"/>
                <c:pt idx="0">
                  <c:v>Sole</c:v>
                </c:pt>
              </c:strCache>
            </c:strRef>
          </c:tx>
          <c:spPr>
            <a:solidFill>
              <a:srgbClr val="E87308"/>
            </a:solidFill>
            <a:ln>
              <a:solidFill>
                <a:srgbClr val="FFFFFF"/>
              </a:solidFill>
            </a:ln>
          </c:spPr>
          <c:invertIfNegative val="0"/>
          <c:cat>
            <c:strRef>
              <c:f>'NS beam trawl over 300kW'!$I$161:$K$161</c:f>
              <c:strCache>
                <c:ptCount val="3"/>
                <c:pt idx="0">
                  <c:v>Most
profitable
quartile</c:v>
                </c:pt>
                <c:pt idx="1">
                  <c:v>Middle 
two quartiles</c:v>
                </c:pt>
                <c:pt idx="2">
                  <c:v>Least
profitable
quartile</c:v>
                </c:pt>
              </c:strCache>
            </c:strRef>
          </c:cat>
          <c:val>
            <c:numRef>
              <c:f>'NS beam trawl over 300kW'!$I$163:$K$163</c:f>
              <c:numCache>
                <c:formatCode>0%</c:formatCode>
                <c:ptCount val="3"/>
                <c:pt idx="0">
                  <c:v>0</c:v>
                </c:pt>
                <c:pt idx="1">
                  <c:v>0</c:v>
                </c:pt>
                <c:pt idx="2">
                  <c:v>0</c:v>
                </c:pt>
              </c:numCache>
            </c:numRef>
          </c:val>
          <c:extLst>
            <c:ext xmlns:c16="http://schemas.microsoft.com/office/drawing/2014/chart" uri="{C3380CC4-5D6E-409C-BE32-E72D297353CC}">
              <c16:uniqueId val="{00000001-B8DB-4C4B-B5BF-D3E60A39BCC8}"/>
            </c:ext>
          </c:extLst>
        </c:ser>
        <c:ser>
          <c:idx val="2"/>
          <c:order val="2"/>
          <c:tx>
            <c:strRef>
              <c:f>'NS beam trawl over 300kW'!$H$164</c:f>
              <c:strCache>
                <c:ptCount val="1"/>
                <c:pt idx="0">
                  <c:v>Turbot</c:v>
                </c:pt>
              </c:strCache>
            </c:strRef>
          </c:tx>
          <c:spPr>
            <a:solidFill>
              <a:srgbClr val="648C2E"/>
            </a:solidFill>
            <a:ln>
              <a:solidFill>
                <a:srgbClr val="FFFFFF"/>
              </a:solidFill>
            </a:ln>
          </c:spPr>
          <c:invertIfNegative val="0"/>
          <c:cat>
            <c:strRef>
              <c:f>'NS beam trawl over 300kW'!$I$161:$K$161</c:f>
              <c:strCache>
                <c:ptCount val="3"/>
                <c:pt idx="0">
                  <c:v>Most
profitable
quartile</c:v>
                </c:pt>
                <c:pt idx="1">
                  <c:v>Middle 
two quartiles</c:v>
                </c:pt>
                <c:pt idx="2">
                  <c:v>Least
profitable
quartile</c:v>
                </c:pt>
              </c:strCache>
            </c:strRef>
          </c:cat>
          <c:val>
            <c:numRef>
              <c:f>'NS beam trawl over 300kW'!$I$164:$K$164</c:f>
              <c:numCache>
                <c:formatCode>0%</c:formatCode>
                <c:ptCount val="3"/>
                <c:pt idx="0">
                  <c:v>0</c:v>
                </c:pt>
                <c:pt idx="1">
                  <c:v>0</c:v>
                </c:pt>
                <c:pt idx="2">
                  <c:v>0</c:v>
                </c:pt>
              </c:numCache>
            </c:numRef>
          </c:val>
          <c:extLst>
            <c:ext xmlns:c16="http://schemas.microsoft.com/office/drawing/2014/chart" uri="{C3380CC4-5D6E-409C-BE32-E72D297353CC}">
              <c16:uniqueId val="{00000002-B8DB-4C4B-B5BF-D3E60A39BCC8}"/>
            </c:ext>
          </c:extLst>
        </c:ser>
        <c:ser>
          <c:idx val="3"/>
          <c:order val="3"/>
          <c:tx>
            <c:strRef>
              <c:f>'NS beam trawl over 300kW'!$H$165</c:f>
              <c:strCache>
                <c:ptCount val="1"/>
                <c:pt idx="0">
                  <c:v>Brill</c:v>
                </c:pt>
              </c:strCache>
            </c:strRef>
          </c:tx>
          <c:spPr>
            <a:solidFill>
              <a:srgbClr val="C1D119"/>
            </a:solidFill>
            <a:ln>
              <a:solidFill>
                <a:srgbClr val="FFFFFF"/>
              </a:solidFill>
            </a:ln>
          </c:spPr>
          <c:invertIfNegative val="0"/>
          <c:cat>
            <c:strRef>
              <c:f>'NS beam trawl over 300kW'!$I$161:$K$161</c:f>
              <c:strCache>
                <c:ptCount val="3"/>
                <c:pt idx="0">
                  <c:v>Most
profitable
quartile</c:v>
                </c:pt>
                <c:pt idx="1">
                  <c:v>Middle 
two quartiles</c:v>
                </c:pt>
                <c:pt idx="2">
                  <c:v>Least
profitable
quartile</c:v>
                </c:pt>
              </c:strCache>
            </c:strRef>
          </c:cat>
          <c:val>
            <c:numRef>
              <c:f>'NS beam trawl over 300kW'!$I$165:$K$165</c:f>
              <c:numCache>
                <c:formatCode>0%</c:formatCode>
                <c:ptCount val="3"/>
                <c:pt idx="0">
                  <c:v>0</c:v>
                </c:pt>
                <c:pt idx="1">
                  <c:v>0</c:v>
                </c:pt>
                <c:pt idx="2">
                  <c:v>0</c:v>
                </c:pt>
              </c:numCache>
            </c:numRef>
          </c:val>
          <c:extLst>
            <c:ext xmlns:c16="http://schemas.microsoft.com/office/drawing/2014/chart" uri="{C3380CC4-5D6E-409C-BE32-E72D297353CC}">
              <c16:uniqueId val="{00000003-B8DB-4C4B-B5BF-D3E60A39BCC8}"/>
            </c:ext>
          </c:extLst>
        </c:ser>
        <c:ser>
          <c:idx val="4"/>
          <c:order val="4"/>
          <c:tx>
            <c:strRef>
              <c:f>'NS beam trawl over 300kW'!$H$166</c:f>
              <c:strCache>
                <c:ptCount val="1"/>
                <c:pt idx="0">
                  <c:v>Lemon Sole</c:v>
                </c:pt>
              </c:strCache>
            </c:strRef>
          </c:tx>
          <c:spPr>
            <a:solidFill>
              <a:srgbClr val="0F9AA9"/>
            </a:solidFill>
            <a:ln>
              <a:solidFill>
                <a:srgbClr val="FFFFFF"/>
              </a:solidFill>
            </a:ln>
          </c:spPr>
          <c:invertIfNegative val="0"/>
          <c:cat>
            <c:strRef>
              <c:f>'NS beam trawl over 300kW'!$I$161:$K$161</c:f>
              <c:strCache>
                <c:ptCount val="3"/>
                <c:pt idx="0">
                  <c:v>Most
profitable
quartile</c:v>
                </c:pt>
                <c:pt idx="1">
                  <c:v>Middle 
two quartiles</c:v>
                </c:pt>
                <c:pt idx="2">
                  <c:v>Least
profitable
quartile</c:v>
                </c:pt>
              </c:strCache>
            </c:strRef>
          </c:cat>
          <c:val>
            <c:numRef>
              <c:f>'NS beam trawl over 300kW'!$I$166:$K$166</c:f>
              <c:numCache>
                <c:formatCode>0%</c:formatCode>
                <c:ptCount val="3"/>
                <c:pt idx="0">
                  <c:v>0</c:v>
                </c:pt>
                <c:pt idx="1">
                  <c:v>0</c:v>
                </c:pt>
                <c:pt idx="2">
                  <c:v>0</c:v>
                </c:pt>
              </c:numCache>
            </c:numRef>
          </c:val>
          <c:extLst>
            <c:ext xmlns:c16="http://schemas.microsoft.com/office/drawing/2014/chart" uri="{C3380CC4-5D6E-409C-BE32-E72D297353CC}">
              <c16:uniqueId val="{00000004-B8DB-4C4B-B5BF-D3E60A39BCC8}"/>
            </c:ext>
          </c:extLst>
        </c:ser>
        <c:ser>
          <c:idx val="5"/>
          <c:order val="5"/>
          <c:tx>
            <c:strRef>
              <c:f>'NS beam trawl over 300kW'!$H$167</c:f>
              <c:strCache>
                <c:ptCount val="1"/>
                <c:pt idx="0">
                  <c:v>Dabs</c:v>
                </c:pt>
              </c:strCache>
            </c:strRef>
          </c:tx>
          <c:spPr>
            <a:solidFill>
              <a:srgbClr val="E84A38"/>
            </a:solidFill>
            <a:ln>
              <a:solidFill>
                <a:srgbClr val="FFFFFF"/>
              </a:solidFill>
            </a:ln>
          </c:spPr>
          <c:invertIfNegative val="0"/>
          <c:cat>
            <c:strRef>
              <c:f>'NS beam trawl over 300kW'!$I$161:$K$161</c:f>
              <c:strCache>
                <c:ptCount val="3"/>
                <c:pt idx="0">
                  <c:v>Most
profitable
quartile</c:v>
                </c:pt>
                <c:pt idx="1">
                  <c:v>Middle 
two quartiles</c:v>
                </c:pt>
                <c:pt idx="2">
                  <c:v>Least
profitable
quartile</c:v>
                </c:pt>
              </c:strCache>
            </c:strRef>
          </c:cat>
          <c:val>
            <c:numRef>
              <c:f>'NS beam trawl over 300kW'!$I$167:$K$167</c:f>
              <c:numCache>
                <c:formatCode>0%</c:formatCode>
                <c:ptCount val="3"/>
                <c:pt idx="0">
                  <c:v>0</c:v>
                </c:pt>
                <c:pt idx="1">
                  <c:v>0</c:v>
                </c:pt>
                <c:pt idx="2">
                  <c:v>0</c:v>
                </c:pt>
              </c:numCache>
            </c:numRef>
          </c:val>
          <c:extLst>
            <c:ext xmlns:c16="http://schemas.microsoft.com/office/drawing/2014/chart" uri="{C3380CC4-5D6E-409C-BE32-E72D297353CC}">
              <c16:uniqueId val="{00000005-B8DB-4C4B-B5BF-D3E60A39BCC8}"/>
            </c:ext>
          </c:extLst>
        </c:ser>
        <c:ser>
          <c:idx val="6"/>
          <c:order val="6"/>
          <c:tx>
            <c:strRef>
              <c:f>'NS beam trawl over 300kW'!$H$168</c:f>
              <c:strCache>
                <c:ptCount val="1"/>
                <c:pt idx="0">
                  <c:v>Others</c:v>
                </c:pt>
              </c:strCache>
            </c:strRef>
          </c:tx>
          <c:spPr>
            <a:solidFill>
              <a:srgbClr val="55585A"/>
            </a:solidFill>
            <a:ln>
              <a:solidFill>
                <a:srgbClr val="FFFFFF"/>
              </a:solidFill>
            </a:ln>
          </c:spPr>
          <c:invertIfNegative val="0"/>
          <c:cat>
            <c:strRef>
              <c:f>'NS beam trawl over 300kW'!$I$161:$K$161</c:f>
              <c:strCache>
                <c:ptCount val="3"/>
                <c:pt idx="0">
                  <c:v>Most
profitable
quartile</c:v>
                </c:pt>
                <c:pt idx="1">
                  <c:v>Middle 
two quartiles</c:v>
                </c:pt>
                <c:pt idx="2">
                  <c:v>Least
profitable
quartile</c:v>
                </c:pt>
              </c:strCache>
            </c:strRef>
          </c:cat>
          <c:val>
            <c:numRef>
              <c:f>'NS beam trawl over 300kW'!$I$168:$K$168</c:f>
              <c:numCache>
                <c:formatCode>0%</c:formatCode>
                <c:ptCount val="3"/>
                <c:pt idx="0">
                  <c:v>0</c:v>
                </c:pt>
                <c:pt idx="1">
                  <c:v>0</c:v>
                </c:pt>
                <c:pt idx="2">
                  <c:v>0</c:v>
                </c:pt>
              </c:numCache>
            </c:numRef>
          </c:val>
          <c:extLst>
            <c:ext xmlns:c16="http://schemas.microsoft.com/office/drawing/2014/chart" uri="{C3380CC4-5D6E-409C-BE32-E72D297353CC}">
              <c16:uniqueId val="{00000006-B8DB-4C4B-B5BF-D3E60A39BCC8}"/>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'Area VIIa demersal trawl'!$K$139</c:f>
              <c:strCache>
                <c:ptCount val="1"/>
                <c:pt idx="0">
                  <c:v>Total income</c:v>
                </c:pt>
              </c:strCache>
            </c:strRef>
          </c:tx>
          <c:spPr>
            <a:solidFill>
              <a:srgbClr val="087CBB"/>
            </a:solidFill>
            <a:ln>
              <a:solidFill>
                <a:schemeClr val="accent1"/>
              </a:solidFill>
            </a:ln>
          </c:spPr>
          <c:invertIfNegative val="0"/>
          <c:cat>
            <c:strRef>
              <c:f>'Area VIIa demersal trawl'!$L$138:$N$138</c:f>
              <c:strCache>
                <c:ptCount val="3"/>
                <c:pt idx="0">
                  <c:v>Most
profitable
quartile</c:v>
                </c:pt>
                <c:pt idx="1">
                  <c:v>Middle
two quartiles</c:v>
                </c:pt>
                <c:pt idx="2">
                  <c:v>Least
profitable
quartile</c:v>
                </c:pt>
              </c:strCache>
            </c:strRef>
          </c:cat>
          <c:val>
            <c:numRef>
              <c:f>'Area VIIa demersal trawl'!$L$139:$N$139</c:f>
              <c:numCache>
                <c:formatCode>#,##0</c:formatCode>
                <c:ptCount val="3"/>
                <c:pt idx="0">
                  <c:v>0</c:v>
                </c:pt>
                <c:pt idx="1">
                  <c:v>0</c:v>
                </c:pt>
                <c:pt idx="2">
                  <c:v>0</c:v>
                </c:pt>
              </c:numCache>
            </c:numRef>
          </c:val>
          <c:extLst>
            <c:ext xmlns:c16="http://schemas.microsoft.com/office/drawing/2014/chart" uri="{C3380CC4-5D6E-409C-BE32-E72D297353CC}">
              <c16:uniqueId val="{00000000-5D91-4F40-898F-0E78A900649E}"/>
            </c:ext>
          </c:extLst>
        </c:ser>
        <c:ser>
          <c:idx val="1"/>
          <c:order val="1"/>
          <c:tx>
            <c:strRef>
              <c:f>'Area VIIa demersal trawl'!$K$140</c:f>
              <c:strCache>
                <c:ptCount val="1"/>
                <c:pt idx="0">
                  <c:v>Operating costs</c:v>
                </c:pt>
              </c:strCache>
            </c:strRef>
          </c:tx>
          <c:spPr>
            <a:solidFill>
              <a:srgbClr val="E87308"/>
            </a:solidFill>
          </c:spPr>
          <c:invertIfNegative val="0"/>
          <c:cat>
            <c:strRef>
              <c:f>'Area VIIa demersal trawl'!$L$138:$N$138</c:f>
              <c:strCache>
                <c:ptCount val="3"/>
                <c:pt idx="0">
                  <c:v>Most
profitable
quartile</c:v>
                </c:pt>
                <c:pt idx="1">
                  <c:v>Middle
two quartiles</c:v>
                </c:pt>
                <c:pt idx="2">
                  <c:v>Least
profitable
quartile</c:v>
                </c:pt>
              </c:strCache>
            </c:strRef>
          </c:cat>
          <c:val>
            <c:numRef>
              <c:f>'Area VIIa demersal trawl'!$L$140:$N$140</c:f>
              <c:numCache>
                <c:formatCode>#,##0</c:formatCode>
                <c:ptCount val="3"/>
                <c:pt idx="0">
                  <c:v>0</c:v>
                </c:pt>
                <c:pt idx="1">
                  <c:v>0</c:v>
                </c:pt>
                <c:pt idx="2">
                  <c:v>0</c:v>
                </c:pt>
              </c:numCache>
            </c:numRef>
          </c:val>
          <c:extLst>
            <c:ext xmlns:c16="http://schemas.microsoft.com/office/drawing/2014/chart" uri="{C3380CC4-5D6E-409C-BE32-E72D297353CC}">
              <c16:uniqueId val="{00000001-5D91-4F40-898F-0E78A900649E}"/>
            </c:ext>
          </c:extLst>
        </c:ser>
        <c:ser>
          <c:idx val="2"/>
          <c:order val="2"/>
          <c:tx>
            <c:strRef>
              <c:f>'Area VIIa demersal trawl'!$K$141</c:f>
              <c:strCache>
                <c:ptCount val="1"/>
                <c:pt idx="0">
                  <c:v>Operating profit</c:v>
                </c:pt>
              </c:strCache>
            </c:strRef>
          </c:tx>
          <c:spPr>
            <a:solidFill>
              <a:srgbClr val="51AA81"/>
            </a:solidFill>
          </c:spPr>
          <c:invertIfNegative val="0"/>
          <c:cat>
            <c:strRef>
              <c:f>'Area VIIa demersal trawl'!$L$138:$N$138</c:f>
              <c:strCache>
                <c:ptCount val="3"/>
                <c:pt idx="0">
                  <c:v>Most
profitable
quartile</c:v>
                </c:pt>
                <c:pt idx="1">
                  <c:v>Middle
two quartiles</c:v>
                </c:pt>
                <c:pt idx="2">
                  <c:v>Least
profitable
quartile</c:v>
                </c:pt>
              </c:strCache>
            </c:strRef>
          </c:cat>
          <c:val>
            <c:numRef>
              <c:f>'Area VIIa demersal trawl'!$L$141:$N$141</c:f>
              <c:numCache>
                <c:formatCode>#,##0</c:formatCode>
                <c:ptCount val="3"/>
                <c:pt idx="0">
                  <c:v>0</c:v>
                </c:pt>
                <c:pt idx="1">
                  <c:v>0</c:v>
                </c:pt>
                <c:pt idx="2">
                  <c:v>0</c:v>
                </c:pt>
              </c:numCache>
            </c:numRef>
          </c:val>
          <c:extLst>
            <c:ext xmlns:c16="http://schemas.microsoft.com/office/drawing/2014/chart" uri="{C3380CC4-5D6E-409C-BE32-E72D297353CC}">
              <c16:uniqueId val="{00000002-5D91-4F40-898F-0E78A900649E}"/>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'Area VIIa demersal trawl'!$K$142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 beam trawl over 300kW'!$K$139</c:f>
              <c:strCache>
                <c:ptCount val="1"/>
                <c:pt idx="0">
                  <c:v>Total income</c:v>
                </c:pt>
              </c:strCache>
            </c:strRef>
          </c:tx>
          <c:spPr>
            <a:solidFill>
              <a:srgbClr val="087CBB"/>
            </a:solidFill>
            <a:ln>
              <a:solidFill>
                <a:schemeClr val="accent1"/>
              </a:solidFill>
            </a:ln>
          </c:spPr>
          <c:invertIfNegative val="0"/>
          <c:cat>
            <c:strRef>
              <c:f>'NS beam trawl over 300kW'!$L$138:$N$138</c:f>
              <c:strCache>
                <c:ptCount val="3"/>
                <c:pt idx="0">
                  <c:v>Most
profitable
quartile</c:v>
                </c:pt>
                <c:pt idx="1">
                  <c:v>Middle
two quartiles</c:v>
                </c:pt>
                <c:pt idx="2">
                  <c:v>Least
profitable
quartile</c:v>
                </c:pt>
              </c:strCache>
            </c:strRef>
          </c:cat>
          <c:val>
            <c:numRef>
              <c:f>'NS beam trawl over 300kW'!$L$139:$N$139</c:f>
              <c:numCache>
                <c:formatCode>#,##0</c:formatCode>
                <c:ptCount val="3"/>
                <c:pt idx="0">
                  <c:v>0</c:v>
                </c:pt>
                <c:pt idx="1">
                  <c:v>0</c:v>
                </c:pt>
                <c:pt idx="2">
                  <c:v>0</c:v>
                </c:pt>
              </c:numCache>
            </c:numRef>
          </c:val>
          <c:extLst>
            <c:ext xmlns:c16="http://schemas.microsoft.com/office/drawing/2014/chart" uri="{C3380CC4-5D6E-409C-BE32-E72D297353CC}">
              <c16:uniqueId val="{00000000-7960-4BE3-9F92-E64E69D0D55A}"/>
            </c:ext>
          </c:extLst>
        </c:ser>
        <c:ser>
          <c:idx val="1"/>
          <c:order val="1"/>
          <c:tx>
            <c:strRef>
              <c:f>'NS beam trawl over 300kW'!$K$140</c:f>
              <c:strCache>
                <c:ptCount val="1"/>
                <c:pt idx="0">
                  <c:v>Operating costs</c:v>
                </c:pt>
              </c:strCache>
            </c:strRef>
          </c:tx>
          <c:spPr>
            <a:solidFill>
              <a:srgbClr val="E87308"/>
            </a:solidFill>
          </c:spPr>
          <c:invertIfNegative val="0"/>
          <c:cat>
            <c:strRef>
              <c:f>'NS beam trawl over 300kW'!$L$138:$N$138</c:f>
              <c:strCache>
                <c:ptCount val="3"/>
                <c:pt idx="0">
                  <c:v>Most
profitable
quartile</c:v>
                </c:pt>
                <c:pt idx="1">
                  <c:v>Middle
two quartiles</c:v>
                </c:pt>
                <c:pt idx="2">
                  <c:v>Least
profitable
quartile</c:v>
                </c:pt>
              </c:strCache>
            </c:strRef>
          </c:cat>
          <c:val>
            <c:numRef>
              <c:f>'NS beam trawl over 300kW'!$L$140:$N$140</c:f>
              <c:numCache>
                <c:formatCode>#,##0</c:formatCode>
                <c:ptCount val="3"/>
                <c:pt idx="0">
                  <c:v>0</c:v>
                </c:pt>
                <c:pt idx="1">
                  <c:v>0</c:v>
                </c:pt>
                <c:pt idx="2">
                  <c:v>0</c:v>
                </c:pt>
              </c:numCache>
            </c:numRef>
          </c:val>
          <c:extLst>
            <c:ext xmlns:c16="http://schemas.microsoft.com/office/drawing/2014/chart" uri="{C3380CC4-5D6E-409C-BE32-E72D297353CC}">
              <c16:uniqueId val="{00000001-7960-4BE3-9F92-E64E69D0D55A}"/>
            </c:ext>
          </c:extLst>
        </c:ser>
        <c:ser>
          <c:idx val="2"/>
          <c:order val="2"/>
          <c:tx>
            <c:strRef>
              <c:f>'NS beam trawl over 300kW'!$K$141</c:f>
              <c:strCache>
                <c:ptCount val="1"/>
                <c:pt idx="0">
                  <c:v>Operating profit</c:v>
                </c:pt>
              </c:strCache>
            </c:strRef>
          </c:tx>
          <c:spPr>
            <a:solidFill>
              <a:srgbClr val="51AA81"/>
            </a:solidFill>
          </c:spPr>
          <c:invertIfNegative val="0"/>
          <c:cat>
            <c:strRef>
              <c:f>'NS beam trawl over 300kW'!$L$138:$N$138</c:f>
              <c:strCache>
                <c:ptCount val="3"/>
                <c:pt idx="0">
                  <c:v>Most
profitable
quartile</c:v>
                </c:pt>
                <c:pt idx="1">
                  <c:v>Middle
two quartiles</c:v>
                </c:pt>
                <c:pt idx="2">
                  <c:v>Least
profitable
quartile</c:v>
                </c:pt>
              </c:strCache>
            </c:strRef>
          </c:cat>
          <c:val>
            <c:numRef>
              <c:f>'NS beam trawl over 300kW'!$L$141:$N$141</c:f>
              <c:numCache>
                <c:formatCode>#,##0</c:formatCode>
                <c:ptCount val="3"/>
                <c:pt idx="0">
                  <c:v>0</c:v>
                </c:pt>
                <c:pt idx="1">
                  <c:v>0</c:v>
                </c:pt>
                <c:pt idx="2">
                  <c:v>0</c:v>
                </c:pt>
              </c:numCache>
            </c:numRef>
          </c:val>
          <c:extLst>
            <c:ext xmlns:c16="http://schemas.microsoft.com/office/drawing/2014/chart" uri="{C3380CC4-5D6E-409C-BE32-E72D297353CC}">
              <c16:uniqueId val="{00000002-7960-4BE3-9F92-E64E69D0D55A}"/>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 beam trawl over 300kW'!$K$142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300kW'!$A$48</c:f>
          <c:strCache>
            <c:ptCount val="1"/>
            <c:pt idx="0">
              <c:v>Landings per kW day at sea (kg)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72C0-4EB9-B6C5-5ACD503A086F}"/>
              </c:ext>
            </c:extLst>
          </c:dPt>
          <c:dPt>
            <c:idx val="10"/>
            <c:bubble3D val="0"/>
            <c:spPr>
              <a:ln w="57150">
                <a:solidFill>
                  <a:srgbClr val="2273B9"/>
                </a:solidFill>
                <a:prstDash val="sysDot"/>
              </a:ln>
            </c:spPr>
            <c:extLst>
              <c:ext xmlns:c16="http://schemas.microsoft.com/office/drawing/2014/chart" uri="{C3380CC4-5D6E-409C-BE32-E72D297353CC}">
                <c16:uniqueId val="{00000003-72C0-4EB9-B6C5-5ACD503A086F}"/>
              </c:ext>
            </c:extLst>
          </c:dPt>
          <c:cat>
            <c:numRef>
              <c:f>'NS beam trawl under 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 beam trawl under 300kW'!$D$21:$N$21</c:f>
              <c:numCache>
                <c:formatCode>#,##0.00</c:formatCode>
                <c:ptCount val="11"/>
                <c:pt idx="0">
                  <c:v>3.1895745675305078</c:v>
                </c:pt>
                <c:pt idx="1">
                  <c:v>3.9223019947286133</c:v>
                </c:pt>
                <c:pt idx="2">
                  <c:v>2.7202065528924475</c:v>
                </c:pt>
                <c:pt idx="3">
                  <c:v>3.242810071527813</c:v>
                </c:pt>
                <c:pt idx="4">
                  <c:v>3.3062912062321512</c:v>
                </c:pt>
                <c:pt idx="5">
                  <c:v>2.1382350529235601</c:v>
                </c:pt>
                <c:pt idx="6">
                  <c:v>1.1386183900383613</c:v>
                </c:pt>
                <c:pt idx="7">
                  <c:v>2.3021595816806091</c:v>
                </c:pt>
                <c:pt idx="8">
                  <c:v>1.9644930464613135</c:v>
                </c:pt>
                <c:pt idx="9">
                  <c:v>2.834867979398076</c:v>
                </c:pt>
                <c:pt idx="10">
                  <c:v>1.9973447556747856</c:v>
                </c:pt>
              </c:numCache>
            </c:numRef>
          </c:val>
          <c:smooth val="0"/>
          <c:extLst>
            <c:ext xmlns:c16="http://schemas.microsoft.com/office/drawing/2014/chart" uri="{C3380CC4-5D6E-409C-BE32-E72D297353CC}">
              <c16:uniqueId val="{00000004-72C0-4EB9-B6C5-5ACD503A086F}"/>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300kW'!$A$49</c:f>
          <c:strCache>
            <c:ptCount val="1"/>
            <c:pt idx="0">
              <c:v>Fishing income per kW day at sea (£)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66FD-452F-B68D-E23CD7935006}"/>
              </c:ext>
            </c:extLst>
          </c:dPt>
          <c:dPt>
            <c:idx val="10"/>
            <c:bubble3D val="0"/>
            <c:spPr>
              <a:ln w="57150">
                <a:solidFill>
                  <a:srgbClr val="648C2E"/>
                </a:solidFill>
                <a:prstDash val="sysDot"/>
              </a:ln>
            </c:spPr>
            <c:extLst>
              <c:ext xmlns:c16="http://schemas.microsoft.com/office/drawing/2014/chart" uri="{C3380CC4-5D6E-409C-BE32-E72D297353CC}">
                <c16:uniqueId val="{00000003-66FD-452F-B68D-E23CD7935006}"/>
              </c:ext>
            </c:extLst>
          </c:dPt>
          <c:cat>
            <c:numRef>
              <c:f>'NS beam trawl under 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 beam trawl under 300kW'!$D$22:$N$22</c:f>
              <c:numCache>
                <c:formatCode>#,##0.00</c:formatCode>
                <c:ptCount val="11"/>
                <c:pt idx="0">
                  <c:v>5.6618097766174698</c:v>
                </c:pt>
                <c:pt idx="1">
                  <c:v>7.8147518383758197</c:v>
                </c:pt>
                <c:pt idx="2">
                  <c:v>5.9684004231836703</c:v>
                </c:pt>
                <c:pt idx="3">
                  <c:v>3.3736491346879598</c:v>
                </c:pt>
                <c:pt idx="4">
                  <c:v>4.35738845794135</c:v>
                </c:pt>
                <c:pt idx="5">
                  <c:v>6.8811460702184402</c:v>
                </c:pt>
                <c:pt idx="6">
                  <c:v>5.0801826183498502</c:v>
                </c:pt>
                <c:pt idx="7">
                  <c:v>5.6698951442094003</c:v>
                </c:pt>
                <c:pt idx="8">
                  <c:v>3.7460393904542801</c:v>
                </c:pt>
                <c:pt idx="9">
                  <c:v>6.0091037377868401</c:v>
                </c:pt>
                <c:pt idx="10">
                  <c:v>4.993617194071045</c:v>
                </c:pt>
              </c:numCache>
            </c:numRef>
          </c:val>
          <c:smooth val="0"/>
          <c:extLst>
            <c:ext xmlns:c16="http://schemas.microsoft.com/office/drawing/2014/chart" uri="{C3380CC4-5D6E-409C-BE32-E72D297353CC}">
              <c16:uniqueId val="{00000004-66FD-452F-B68D-E23CD7935006}"/>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300kW'!$B$62</c:f>
          <c:strCache>
            <c:ptCount val="1"/>
            <c:pt idx="0">
              <c:v>Total cost per kW day at sea (£)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D40C-4BA0-843A-0F2C1E35A19B}"/>
              </c:ext>
            </c:extLst>
          </c:dPt>
          <c:dPt>
            <c:idx val="10"/>
            <c:bubble3D val="0"/>
            <c:spPr>
              <a:ln w="57150">
                <a:solidFill>
                  <a:srgbClr val="087CBB"/>
                </a:solidFill>
                <a:prstDash val="sysDot"/>
              </a:ln>
            </c:spPr>
            <c:extLst>
              <c:ext xmlns:c16="http://schemas.microsoft.com/office/drawing/2014/chart" uri="{C3380CC4-5D6E-409C-BE32-E72D297353CC}">
                <c16:uniqueId val="{00000003-D40C-4BA0-843A-0F2C1E35A19B}"/>
              </c:ext>
            </c:extLst>
          </c:dPt>
          <c:cat>
            <c:numRef>
              <c:f>'NS beam trawl under 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 beam trawl under 300kW'!$D$23:$N$23</c:f>
              <c:numCache>
                <c:formatCode>#,##0.00</c:formatCode>
                <c:ptCount val="11"/>
                <c:pt idx="0">
                  <c:v>7.6766028629903396</c:v>
                </c:pt>
                <c:pt idx="1">
                  <c:v>7.9912597175829498</c:v>
                </c:pt>
                <c:pt idx="2">
                  <c:v>6.8265806101797502</c:v>
                </c:pt>
                <c:pt idx="3">
                  <c:v>5.6990443539301596</c:v>
                </c:pt>
                <c:pt idx="4">
                  <c:v>4.6477358205246704</c:v>
                </c:pt>
                <c:pt idx="5">
                  <c:v>7.5803457249371604</c:v>
                </c:pt>
                <c:pt idx="6">
                  <c:v>5.4409481415106304</c:v>
                </c:pt>
                <c:pt idx="7">
                  <c:v>5.6281727777230204</c:v>
                </c:pt>
                <c:pt idx="8">
                  <c:v>6.38668565506996</c:v>
                </c:pt>
                <c:pt idx="9">
                  <c:v>9.3400859450148808</c:v>
                </c:pt>
                <c:pt idx="10">
                  <c:v>10.263602928214917</c:v>
                </c:pt>
              </c:numCache>
            </c:numRef>
          </c:val>
          <c:smooth val="0"/>
          <c:extLst>
            <c:ext xmlns:c16="http://schemas.microsoft.com/office/drawing/2014/chart" uri="{C3380CC4-5D6E-409C-BE32-E72D297353CC}">
              <c16:uniqueId val="{00000004-D40C-4BA0-843A-0F2C1E35A19B}"/>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300kW'!$K$48</c:f>
          <c:strCache>
            <c:ptCount val="1"/>
            <c:pt idx="0">
              <c:v>Operating profit per kW day at sea (£)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FF1D-4A32-A1C9-8CC8A23EFC79}"/>
              </c:ext>
            </c:extLst>
          </c:dPt>
          <c:dPt>
            <c:idx val="10"/>
            <c:bubble3D val="0"/>
            <c:spPr>
              <a:ln w="57150">
                <a:solidFill>
                  <a:schemeClr val="accent3"/>
                </a:solidFill>
                <a:prstDash val="sysDot"/>
              </a:ln>
            </c:spPr>
            <c:extLst>
              <c:ext xmlns:c16="http://schemas.microsoft.com/office/drawing/2014/chart" uri="{C3380CC4-5D6E-409C-BE32-E72D297353CC}">
                <c16:uniqueId val="{00000003-FF1D-4A32-A1C9-8CC8A23EFC79}"/>
              </c:ext>
            </c:extLst>
          </c:dPt>
          <c:cat>
            <c:numRef>
              <c:f>'NS beam trawl under 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 beam trawl under 300kW'!$D$24:$N$24</c:f>
              <c:numCache>
                <c:formatCode>#,##0.00</c:formatCode>
                <c:ptCount val="11"/>
                <c:pt idx="0">
                  <c:v>-1.67208398853948</c:v>
                </c:pt>
                <c:pt idx="1">
                  <c:v>0.17048036690130899</c:v>
                </c:pt>
                <c:pt idx="2">
                  <c:v>-0.447439319650071</c:v>
                </c:pt>
                <c:pt idx="3">
                  <c:v>-2.1635066634234001</c:v>
                </c:pt>
                <c:pt idx="4">
                  <c:v>6.8765189327906302E-3</c:v>
                </c:pt>
                <c:pt idx="5">
                  <c:v>7.6135057925314095E-2</c:v>
                </c:pt>
                <c:pt idx="6">
                  <c:v>6.2506943650101801E-2</c:v>
                </c:pt>
                <c:pt idx="7">
                  <c:v>0.51412867915495897</c:v>
                </c:pt>
                <c:pt idx="8">
                  <c:v>-2.6406462646156799</c:v>
                </c:pt>
                <c:pt idx="9">
                  <c:v>-2.7861077199286401</c:v>
                </c:pt>
                <c:pt idx="10">
                  <c:v>-5.2699857341438721</c:v>
                </c:pt>
              </c:numCache>
            </c:numRef>
          </c:val>
          <c:smooth val="0"/>
          <c:extLst>
            <c:ext xmlns:c16="http://schemas.microsoft.com/office/drawing/2014/chart" uri="{C3380CC4-5D6E-409C-BE32-E72D297353CC}">
              <c16:uniqueId val="{00000004-FF1D-4A32-A1C9-8CC8A23EFC79}"/>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300kW'!$A$50</c:f>
          <c:strCache>
            <c:ptCount val="1"/>
            <c:pt idx="0">
              <c:v>Average price per tonne landed (£)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CA4F-4CA8-A7DD-9FF8C9432CD3}"/>
              </c:ext>
            </c:extLst>
          </c:dPt>
          <c:dPt>
            <c:idx val="10"/>
            <c:bubble3D val="0"/>
            <c:spPr>
              <a:ln w="57150">
                <a:solidFill>
                  <a:schemeClr val="accent4"/>
                </a:solidFill>
                <a:prstDash val="sysDot"/>
              </a:ln>
            </c:spPr>
            <c:extLst>
              <c:ext xmlns:c16="http://schemas.microsoft.com/office/drawing/2014/chart" uri="{C3380CC4-5D6E-409C-BE32-E72D297353CC}">
                <c16:uniqueId val="{00000003-CA4F-4CA8-A7DD-9FF8C9432CD3}"/>
              </c:ext>
            </c:extLst>
          </c:dPt>
          <c:cat>
            <c:numRef>
              <c:f>'NS beam trawl under 300kW'!$D$2:$M$2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under 300kW'!$D$20:$N$20</c:f>
              <c:numCache>
                <c:formatCode>#,##0</c:formatCode>
                <c:ptCount val="11"/>
                <c:pt idx="0">
                  <c:v>1775</c:v>
                </c:pt>
                <c:pt idx="1">
                  <c:v>1992</c:v>
                </c:pt>
                <c:pt idx="2">
                  <c:v>2194</c:v>
                </c:pt>
                <c:pt idx="3">
                  <c:v>1040</c:v>
                </c:pt>
                <c:pt idx="4">
                  <c:v>1318</c:v>
                </c:pt>
                <c:pt idx="5">
                  <c:v>3218</c:v>
                </c:pt>
                <c:pt idx="6">
                  <c:v>4462</c:v>
                </c:pt>
                <c:pt idx="7">
                  <c:v>2463</c:v>
                </c:pt>
                <c:pt idx="8">
                  <c:v>1907</c:v>
                </c:pt>
                <c:pt idx="9">
                  <c:v>2120</c:v>
                </c:pt>
                <c:pt idx="10">
                  <c:v>2500</c:v>
                </c:pt>
              </c:numCache>
            </c:numRef>
          </c:val>
          <c:smooth val="0"/>
          <c:extLst>
            <c:ext xmlns:c16="http://schemas.microsoft.com/office/drawing/2014/chart" uri="{C3380CC4-5D6E-409C-BE32-E72D297353CC}">
              <c16:uniqueId val="{00000004-CA4F-4CA8-A7DD-9FF8C9432CD3}"/>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300kW'!$K$62</c:f>
          <c:strCache>
            <c:ptCount val="1"/>
            <c:pt idx="0">
              <c:v>Average annual operating profit per vessel (£'000)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6737-4064-BCCE-C3C00EFFA84B}"/>
              </c:ext>
            </c:extLst>
          </c:dPt>
          <c:dPt>
            <c:idx val="10"/>
            <c:bubble3D val="0"/>
            <c:spPr>
              <a:ln w="57150">
                <a:solidFill>
                  <a:schemeClr val="accent5"/>
                </a:solidFill>
                <a:prstDash val="sysDot"/>
              </a:ln>
            </c:spPr>
            <c:extLst>
              <c:ext xmlns:c16="http://schemas.microsoft.com/office/drawing/2014/chart" uri="{C3380CC4-5D6E-409C-BE32-E72D297353CC}">
                <c16:uniqueId val="{00000003-6737-4064-BCCE-C3C00EFFA84B}"/>
              </c:ext>
            </c:extLst>
          </c:dPt>
          <c:cat>
            <c:numRef>
              <c:f>'NS beam trawl under 300kW'!$D$2:$M$2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beam trawl under 300kW'!$D$37:$N$37</c:f>
              <c:numCache>
                <c:formatCode>#,##0.0</c:formatCode>
                <c:ptCount val="11"/>
                <c:pt idx="0">
                  <c:v>-24.4</c:v>
                </c:pt>
                <c:pt idx="1">
                  <c:v>2.8</c:v>
                </c:pt>
                <c:pt idx="2">
                  <c:v>-10.1</c:v>
                </c:pt>
                <c:pt idx="3">
                  <c:v>-47.1</c:v>
                </c:pt>
                <c:pt idx="4">
                  <c:v>0.2</c:v>
                </c:pt>
                <c:pt idx="5">
                  <c:v>1.3</c:v>
                </c:pt>
                <c:pt idx="6">
                  <c:v>1.3</c:v>
                </c:pt>
                <c:pt idx="7">
                  <c:v>10</c:v>
                </c:pt>
                <c:pt idx="8">
                  <c:v>-34.4</c:v>
                </c:pt>
                <c:pt idx="9">
                  <c:v>-43</c:v>
                </c:pt>
                <c:pt idx="10">
                  <c:v>-65.400000000000006</c:v>
                </c:pt>
              </c:numCache>
            </c:numRef>
          </c:val>
          <c:smooth val="0"/>
          <c:extLst>
            <c:ext xmlns:c16="http://schemas.microsoft.com/office/drawing/2014/chart" uri="{C3380CC4-5D6E-409C-BE32-E72D297353CC}">
              <c16:uniqueId val="{00000004-6737-4064-BCCE-C3C00EFFA84B}"/>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under 300kW'!$A$76</c:f>
          <c:strCache>
            <c:ptCount val="1"/>
            <c:pt idx="0">
              <c:v>Top 5 landed species by volume in 2020
North Sea beam trawl under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F281-4A94-B8F1-AC7E89AECF72}"/>
              </c:ext>
            </c:extLst>
          </c:dPt>
          <c:dPt>
            <c:idx val="1"/>
            <c:bubble3D val="0"/>
            <c:spPr>
              <a:solidFill>
                <a:srgbClr val="E87308"/>
              </a:solidFill>
              <a:ln>
                <a:solidFill>
                  <a:srgbClr val="FFFFFF"/>
                </a:solidFill>
              </a:ln>
            </c:spPr>
            <c:extLst>
              <c:ext xmlns:c16="http://schemas.microsoft.com/office/drawing/2014/chart" uri="{C3380CC4-5D6E-409C-BE32-E72D297353CC}">
                <c16:uniqueId val="{00000003-F281-4A94-B8F1-AC7E89AECF72}"/>
              </c:ext>
            </c:extLst>
          </c:dPt>
          <c:dPt>
            <c:idx val="2"/>
            <c:bubble3D val="0"/>
            <c:spPr>
              <a:solidFill>
                <a:srgbClr val="0F9AA9"/>
              </a:solidFill>
              <a:ln>
                <a:solidFill>
                  <a:srgbClr val="FFFFFF"/>
                </a:solidFill>
              </a:ln>
            </c:spPr>
            <c:extLst>
              <c:ext xmlns:c16="http://schemas.microsoft.com/office/drawing/2014/chart" uri="{C3380CC4-5D6E-409C-BE32-E72D297353CC}">
                <c16:uniqueId val="{00000005-F281-4A94-B8F1-AC7E89AECF72}"/>
              </c:ext>
            </c:extLst>
          </c:dPt>
          <c:dPt>
            <c:idx val="3"/>
            <c:bubble3D val="0"/>
            <c:spPr>
              <a:solidFill>
                <a:srgbClr val="C1D119"/>
              </a:solidFill>
              <a:ln>
                <a:solidFill>
                  <a:srgbClr val="FFFFFF"/>
                </a:solidFill>
              </a:ln>
            </c:spPr>
            <c:extLst>
              <c:ext xmlns:c16="http://schemas.microsoft.com/office/drawing/2014/chart" uri="{C3380CC4-5D6E-409C-BE32-E72D297353CC}">
                <c16:uniqueId val="{00000007-F281-4A94-B8F1-AC7E89AECF72}"/>
              </c:ext>
            </c:extLst>
          </c:dPt>
          <c:dPt>
            <c:idx val="4"/>
            <c:bubble3D val="0"/>
            <c:spPr>
              <a:solidFill>
                <a:srgbClr val="E84A38"/>
              </a:solidFill>
              <a:ln>
                <a:solidFill>
                  <a:srgbClr val="FFFFFF"/>
                </a:solidFill>
              </a:ln>
            </c:spPr>
            <c:extLst>
              <c:ext xmlns:c16="http://schemas.microsoft.com/office/drawing/2014/chart" uri="{C3380CC4-5D6E-409C-BE32-E72D297353CC}">
                <c16:uniqueId val="{00000009-F281-4A94-B8F1-AC7E89AECF72}"/>
              </c:ext>
            </c:extLst>
          </c:dPt>
          <c:dPt>
            <c:idx val="5"/>
            <c:bubble3D val="0"/>
            <c:spPr>
              <a:solidFill>
                <a:srgbClr val="55585A"/>
              </a:solidFill>
              <a:ln>
                <a:solidFill>
                  <a:srgbClr val="FFFFFF"/>
                </a:solidFill>
              </a:ln>
            </c:spPr>
            <c:extLst>
              <c:ext xmlns:c16="http://schemas.microsoft.com/office/drawing/2014/chart" uri="{C3380CC4-5D6E-409C-BE32-E72D297353CC}">
                <c16:uniqueId val="{0000000B-F281-4A94-B8F1-AC7E89AECF72}"/>
              </c:ext>
            </c:extLst>
          </c:dPt>
          <c:cat>
            <c:strRef>
              <c:f>'NS beam trawl under 300kW'!$B$77:$B$82</c:f>
              <c:strCache>
                <c:ptCount val="6"/>
                <c:pt idx="0">
                  <c:v>Brown Shrimps - 94.8%</c:v>
                </c:pt>
                <c:pt idx="1">
                  <c:v>Whelks - 4.4%</c:v>
                </c:pt>
                <c:pt idx="2">
                  <c:v>Les. Spot. Dog - 0.3%</c:v>
                </c:pt>
                <c:pt idx="3">
                  <c:v>Plaice - 0.2%</c:v>
                </c:pt>
                <c:pt idx="4">
                  <c:v>Thornback Ray - 0.1%</c:v>
                </c:pt>
                <c:pt idx="5">
                  <c:v>Others - 0.1%</c:v>
                </c:pt>
              </c:strCache>
            </c:strRef>
          </c:cat>
          <c:val>
            <c:numRef>
              <c:f>'NS beam trawl under 300kW'!$C$77:$C$82</c:f>
              <c:numCache>
                <c:formatCode>0.0%</c:formatCode>
                <c:ptCount val="6"/>
                <c:pt idx="0">
                  <c:v>0.94775156166593422</c:v>
                </c:pt>
                <c:pt idx="1">
                  <c:v>4.4385262813326262E-2</c:v>
                </c:pt>
                <c:pt idx="2">
                  <c:v>2.8816729277222983E-3</c:v>
                </c:pt>
                <c:pt idx="3">
                  <c:v>2.2219373989791845E-3</c:v>
                </c:pt>
                <c:pt idx="4">
                  <c:v>1.4497503857737023E-3</c:v>
                </c:pt>
                <c:pt idx="5">
                  <c:v>1.3098148082644201E-3</c:v>
                </c:pt>
              </c:numCache>
            </c:numRef>
          </c:val>
          <c:extLst>
            <c:ext xmlns:c16="http://schemas.microsoft.com/office/drawing/2014/chart" uri="{C3380CC4-5D6E-409C-BE32-E72D297353CC}">
              <c16:uniqueId val="{0000000C-F281-4A94-B8F1-AC7E89AECF7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under 300kW'!$F$76</c:f>
          <c:strCache>
            <c:ptCount val="1"/>
            <c:pt idx="0">
              <c:v>Top 5 landed species by value in 2020
North Sea beam trawl under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44D7-4CF6-B30E-58717EF997D4}"/>
              </c:ext>
            </c:extLst>
          </c:dPt>
          <c:dPt>
            <c:idx val="1"/>
            <c:bubble3D val="0"/>
            <c:spPr>
              <a:solidFill>
                <a:srgbClr val="E87308"/>
              </a:solidFill>
              <a:ln>
                <a:solidFill>
                  <a:srgbClr val="FFFFFF"/>
                </a:solidFill>
              </a:ln>
            </c:spPr>
            <c:extLst>
              <c:ext xmlns:c16="http://schemas.microsoft.com/office/drawing/2014/chart" uri="{C3380CC4-5D6E-409C-BE32-E72D297353CC}">
                <c16:uniqueId val="{00000003-44D7-4CF6-B30E-58717EF997D4}"/>
              </c:ext>
            </c:extLst>
          </c:dPt>
          <c:dPt>
            <c:idx val="2"/>
            <c:bubble3D val="0"/>
            <c:spPr>
              <a:solidFill>
                <a:srgbClr val="648C2E"/>
              </a:solidFill>
              <a:ln>
                <a:solidFill>
                  <a:srgbClr val="FFFFFF"/>
                </a:solidFill>
              </a:ln>
            </c:spPr>
            <c:extLst>
              <c:ext xmlns:c16="http://schemas.microsoft.com/office/drawing/2014/chart" uri="{C3380CC4-5D6E-409C-BE32-E72D297353CC}">
                <c16:uniqueId val="{00000005-44D7-4CF6-B30E-58717EF997D4}"/>
              </c:ext>
            </c:extLst>
          </c:dPt>
          <c:dPt>
            <c:idx val="3"/>
            <c:bubble3D val="0"/>
            <c:spPr>
              <a:solidFill>
                <a:srgbClr val="C1D119"/>
              </a:solidFill>
              <a:ln>
                <a:solidFill>
                  <a:srgbClr val="FFFFFF"/>
                </a:solidFill>
              </a:ln>
            </c:spPr>
            <c:extLst>
              <c:ext xmlns:c16="http://schemas.microsoft.com/office/drawing/2014/chart" uri="{C3380CC4-5D6E-409C-BE32-E72D297353CC}">
                <c16:uniqueId val="{00000007-44D7-4CF6-B30E-58717EF997D4}"/>
              </c:ext>
            </c:extLst>
          </c:dPt>
          <c:dPt>
            <c:idx val="4"/>
            <c:bubble3D val="0"/>
            <c:spPr>
              <a:solidFill>
                <a:srgbClr val="E84A38"/>
              </a:solidFill>
              <a:ln>
                <a:solidFill>
                  <a:srgbClr val="FFFFFF"/>
                </a:solidFill>
              </a:ln>
            </c:spPr>
            <c:extLst>
              <c:ext xmlns:c16="http://schemas.microsoft.com/office/drawing/2014/chart" uri="{C3380CC4-5D6E-409C-BE32-E72D297353CC}">
                <c16:uniqueId val="{00000009-44D7-4CF6-B30E-58717EF997D4}"/>
              </c:ext>
            </c:extLst>
          </c:dPt>
          <c:dPt>
            <c:idx val="5"/>
            <c:bubble3D val="0"/>
            <c:spPr>
              <a:solidFill>
                <a:srgbClr val="55585A"/>
              </a:solidFill>
              <a:ln>
                <a:solidFill>
                  <a:srgbClr val="FFFFFF"/>
                </a:solidFill>
              </a:ln>
            </c:spPr>
            <c:extLst>
              <c:ext xmlns:c16="http://schemas.microsoft.com/office/drawing/2014/chart" uri="{C3380CC4-5D6E-409C-BE32-E72D297353CC}">
                <c16:uniqueId val="{0000000B-44D7-4CF6-B30E-58717EF997D4}"/>
              </c:ext>
            </c:extLst>
          </c:dPt>
          <c:cat>
            <c:strRef>
              <c:f>'NS beam trawl under 300kW'!$G$77:$G$82</c:f>
              <c:strCache>
                <c:ptCount val="6"/>
                <c:pt idx="0">
                  <c:v>Brown Shrimps - 97.1%</c:v>
                </c:pt>
                <c:pt idx="1">
                  <c:v>Whelks - 2.3%</c:v>
                </c:pt>
                <c:pt idx="2">
                  <c:v>Sole - 0.2%</c:v>
                </c:pt>
                <c:pt idx="3">
                  <c:v>Plaice - 0.2%</c:v>
                </c:pt>
                <c:pt idx="4">
                  <c:v>Thornback Ray - 0.1%</c:v>
                </c:pt>
                <c:pt idx="5">
                  <c:v>Others - 0.1%</c:v>
                </c:pt>
              </c:strCache>
            </c:strRef>
          </c:cat>
          <c:val>
            <c:numRef>
              <c:f>'NS beam trawl under 300kW'!$H$77:$H$82</c:f>
              <c:numCache>
                <c:formatCode>0.0%</c:formatCode>
                <c:ptCount val="6"/>
                <c:pt idx="0">
                  <c:v>0.97112617559785164</c:v>
                </c:pt>
                <c:pt idx="1">
                  <c:v>2.2793264469420628E-2</c:v>
                </c:pt>
                <c:pt idx="2">
                  <c:v>2.2071200190444088E-3</c:v>
                </c:pt>
                <c:pt idx="3">
                  <c:v>1.9651529763101906E-3</c:v>
                </c:pt>
                <c:pt idx="4">
                  <c:v>5.2124094669560252E-4</c:v>
                </c:pt>
                <c:pt idx="5">
                  <c:v>1.3870459906775157E-3</c:v>
                </c:pt>
              </c:numCache>
            </c:numRef>
          </c:val>
          <c:extLst>
            <c:ext xmlns:c16="http://schemas.microsoft.com/office/drawing/2014/chart" uri="{C3380CC4-5D6E-409C-BE32-E72D297353CC}">
              <c16:uniqueId val="{0000000C-44D7-4CF6-B30E-58717EF997D4}"/>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under 300kW'!$K$77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 beam trawl under 300kW'!$C$92</c:f>
              <c:strCache>
                <c:ptCount val="1"/>
                <c:pt idx="0">
                  <c:v>Brown Shrimps</c:v>
                </c:pt>
              </c:strCache>
            </c:strRef>
          </c:tx>
          <c:spPr>
            <a:solidFill>
              <a:srgbClr val="2273B9"/>
            </a:solidFill>
            <a:ln>
              <a:solidFill>
                <a:srgbClr val="FFFFFF"/>
              </a:solidFill>
            </a:ln>
          </c:spPr>
          <c:invertIfNegative val="0"/>
          <c:cat>
            <c:numRef>
              <c:f>'NS beam trawl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under 300kW'!$D$92:$M$92</c:f>
              <c:numCache>
                <c:formatCode>0%</c:formatCode>
                <c:ptCount val="10"/>
                <c:pt idx="0">
                  <c:v>0.72524384843508638</c:v>
                </c:pt>
                <c:pt idx="1">
                  <c:v>0.86021385990708921</c:v>
                </c:pt>
                <c:pt idx="2">
                  <c:v>0.82549123139680181</c:v>
                </c:pt>
                <c:pt idx="3">
                  <c:v>0.58752159006386417</c:v>
                </c:pt>
                <c:pt idx="4">
                  <c:v>0.91882753263998429</c:v>
                </c:pt>
                <c:pt idx="5">
                  <c:v>0.97772046937837076</c:v>
                </c:pt>
                <c:pt idx="6">
                  <c:v>0.99662054785034349</c:v>
                </c:pt>
                <c:pt idx="7">
                  <c:v>0.82312479124538529</c:v>
                </c:pt>
                <c:pt idx="8">
                  <c:v>0.97112617559785164</c:v>
                </c:pt>
                <c:pt idx="9">
                  <c:v>0.96264237522364593</c:v>
                </c:pt>
              </c:numCache>
            </c:numRef>
          </c:val>
          <c:extLst>
            <c:ext xmlns:c16="http://schemas.microsoft.com/office/drawing/2014/chart" uri="{C3380CC4-5D6E-409C-BE32-E72D297353CC}">
              <c16:uniqueId val="{00000000-F490-493D-8693-36D9BFB06457}"/>
            </c:ext>
          </c:extLst>
        </c:ser>
        <c:ser>
          <c:idx val="1"/>
          <c:order val="1"/>
          <c:tx>
            <c:strRef>
              <c:f>'NS beam trawl under 300kW'!$C$93</c:f>
              <c:strCache>
                <c:ptCount val="1"/>
                <c:pt idx="0">
                  <c:v>Whelks</c:v>
                </c:pt>
              </c:strCache>
            </c:strRef>
          </c:tx>
          <c:spPr>
            <a:solidFill>
              <a:srgbClr val="E87308"/>
            </a:solidFill>
            <a:ln>
              <a:solidFill>
                <a:srgbClr val="FFFFFF"/>
              </a:solidFill>
            </a:ln>
          </c:spPr>
          <c:invertIfNegative val="0"/>
          <c:cat>
            <c:numRef>
              <c:f>'NS beam trawl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under 300kW'!$D$93:$M$93</c:f>
              <c:numCache>
                <c:formatCode>0%</c:formatCode>
                <c:ptCount val="10"/>
                <c:pt idx="2">
                  <c:v>8.5025511785469451E-3</c:v>
                </c:pt>
                <c:pt idx="3">
                  <c:v>7.0390720866690085E-2</c:v>
                </c:pt>
                <c:pt idx="4">
                  <c:v>4.4916606249783622E-2</c:v>
                </c:pt>
                <c:pt idx="6">
                  <c:v>6.2257738603615522E-5</c:v>
                </c:pt>
                <c:pt idx="7">
                  <c:v>0.12159645705616602</c:v>
                </c:pt>
                <c:pt idx="8">
                  <c:v>2.2793264469420628E-2</c:v>
                </c:pt>
              </c:numCache>
            </c:numRef>
          </c:val>
          <c:extLst>
            <c:ext xmlns:c16="http://schemas.microsoft.com/office/drawing/2014/chart" uri="{C3380CC4-5D6E-409C-BE32-E72D297353CC}">
              <c16:uniqueId val="{00000001-F490-493D-8693-36D9BFB06457}"/>
            </c:ext>
          </c:extLst>
        </c:ser>
        <c:ser>
          <c:idx val="2"/>
          <c:order val="2"/>
          <c:tx>
            <c:strRef>
              <c:f>'NS beam trawl under 300kW'!$C$94</c:f>
              <c:strCache>
                <c:ptCount val="1"/>
                <c:pt idx="0">
                  <c:v>Sole</c:v>
                </c:pt>
              </c:strCache>
            </c:strRef>
          </c:tx>
          <c:spPr>
            <a:solidFill>
              <a:srgbClr val="648C2E"/>
            </a:solidFill>
            <a:ln>
              <a:solidFill>
                <a:srgbClr val="FFFFFF"/>
              </a:solidFill>
            </a:ln>
          </c:spPr>
          <c:invertIfNegative val="0"/>
          <c:cat>
            <c:numRef>
              <c:f>'NS beam trawl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under 300kW'!$D$94:$M$94</c:f>
              <c:numCache>
                <c:formatCode>0%</c:formatCode>
                <c:ptCount val="10"/>
                <c:pt idx="1">
                  <c:v>2.3902283170617496E-2</c:v>
                </c:pt>
                <c:pt idx="6">
                  <c:v>1.7621714488039549E-4</c:v>
                </c:pt>
                <c:pt idx="7">
                  <c:v>2.0434626867137872E-3</c:v>
                </c:pt>
                <c:pt idx="8">
                  <c:v>2.2071200190444088E-3</c:v>
                </c:pt>
                <c:pt idx="9">
                  <c:v>1.4204110511048327E-3</c:v>
                </c:pt>
              </c:numCache>
            </c:numRef>
          </c:val>
          <c:extLst>
            <c:ext xmlns:c16="http://schemas.microsoft.com/office/drawing/2014/chart" uri="{C3380CC4-5D6E-409C-BE32-E72D297353CC}">
              <c16:uniqueId val="{00000002-F490-493D-8693-36D9BFB06457}"/>
            </c:ext>
          </c:extLst>
        </c:ser>
        <c:ser>
          <c:idx val="3"/>
          <c:order val="3"/>
          <c:tx>
            <c:strRef>
              <c:f>'NS beam trawl under 300kW'!$C$95</c:f>
              <c:strCache>
                <c:ptCount val="1"/>
                <c:pt idx="0">
                  <c:v>Plaice</c:v>
                </c:pt>
              </c:strCache>
            </c:strRef>
          </c:tx>
          <c:spPr>
            <a:solidFill>
              <a:srgbClr val="C1D119"/>
            </a:solidFill>
            <a:ln>
              <a:solidFill>
                <a:srgbClr val="FFFFFF"/>
              </a:solidFill>
            </a:ln>
          </c:spPr>
          <c:invertIfNegative val="0"/>
          <c:cat>
            <c:numRef>
              <c:f>'NS beam trawl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under 300kW'!$D$95:$M$95</c:f>
              <c:numCache>
                <c:formatCode>0%</c:formatCode>
                <c:ptCount val="10"/>
                <c:pt idx="8">
                  <c:v>1.9651529763101906E-3</c:v>
                </c:pt>
              </c:numCache>
            </c:numRef>
          </c:val>
          <c:extLst>
            <c:ext xmlns:c16="http://schemas.microsoft.com/office/drawing/2014/chart" uri="{C3380CC4-5D6E-409C-BE32-E72D297353CC}">
              <c16:uniqueId val="{00000003-F490-493D-8693-36D9BFB06457}"/>
            </c:ext>
          </c:extLst>
        </c:ser>
        <c:ser>
          <c:idx val="4"/>
          <c:order val="4"/>
          <c:tx>
            <c:strRef>
              <c:f>'NS beam trawl under 300kW'!$C$96</c:f>
              <c:strCache>
                <c:ptCount val="1"/>
                <c:pt idx="0">
                  <c:v>Thornback Ray</c:v>
                </c:pt>
              </c:strCache>
            </c:strRef>
          </c:tx>
          <c:spPr>
            <a:solidFill>
              <a:srgbClr val="E84A38"/>
            </a:solidFill>
            <a:ln>
              <a:solidFill>
                <a:srgbClr val="FFFFFF"/>
              </a:solidFill>
            </a:ln>
          </c:spPr>
          <c:invertIfNegative val="0"/>
          <c:cat>
            <c:numRef>
              <c:f>'NS beam trawl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under 300kW'!$D$96:$M$96</c:f>
              <c:numCache>
                <c:formatCode>0%</c:formatCode>
                <c:ptCount val="10"/>
                <c:pt idx="1">
                  <c:v>5.2218645734163072E-3</c:v>
                </c:pt>
                <c:pt idx="8">
                  <c:v>5.2124094669560252E-4</c:v>
                </c:pt>
                <c:pt idx="9">
                  <c:v>2.6126396909484758E-4</c:v>
                </c:pt>
              </c:numCache>
            </c:numRef>
          </c:val>
          <c:extLst>
            <c:ext xmlns:c16="http://schemas.microsoft.com/office/drawing/2014/chart" uri="{C3380CC4-5D6E-409C-BE32-E72D297353CC}">
              <c16:uniqueId val="{00000004-F490-493D-8693-36D9BFB06457}"/>
            </c:ext>
          </c:extLst>
        </c:ser>
        <c:ser>
          <c:idx val="5"/>
          <c:order val="5"/>
          <c:tx>
            <c:strRef>
              <c:f>'NS beam trawl under 300kW'!$C$97</c:f>
              <c:strCache>
                <c:ptCount val="1"/>
                <c:pt idx="0">
                  <c:v>Scallops</c:v>
                </c:pt>
              </c:strCache>
            </c:strRef>
          </c:tx>
          <c:spPr>
            <a:solidFill>
              <a:srgbClr val="0F9AA9"/>
            </a:solidFill>
            <a:ln>
              <a:solidFill>
                <a:srgbClr val="FFFFFF"/>
              </a:solidFill>
            </a:ln>
          </c:spPr>
          <c:invertIfNegative val="0"/>
          <c:cat>
            <c:numRef>
              <c:f>'NS beam trawl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under 300kW'!$D$97:$M$97</c:f>
              <c:numCache>
                <c:formatCode>0%</c:formatCode>
                <c:ptCount val="10"/>
                <c:pt idx="0">
                  <c:v>0.12953963751837771</c:v>
                </c:pt>
                <c:pt idx="2">
                  <c:v>6.1941782503634338E-3</c:v>
                </c:pt>
                <c:pt idx="3">
                  <c:v>0.17309302293875659</c:v>
                </c:pt>
                <c:pt idx="4">
                  <c:v>1.7936070225214883E-2</c:v>
                </c:pt>
                <c:pt idx="5">
                  <c:v>1.9736091457578639E-2</c:v>
                </c:pt>
                <c:pt idx="9">
                  <c:v>3.5094808287773116E-2</c:v>
                </c:pt>
              </c:numCache>
            </c:numRef>
          </c:val>
          <c:extLst>
            <c:ext xmlns:c16="http://schemas.microsoft.com/office/drawing/2014/chart" uri="{C3380CC4-5D6E-409C-BE32-E72D297353CC}">
              <c16:uniqueId val="{00000005-F490-493D-8693-36D9BFB06457}"/>
            </c:ext>
          </c:extLst>
        </c:ser>
        <c:ser>
          <c:idx val="6"/>
          <c:order val="6"/>
          <c:tx>
            <c:strRef>
              <c:f>'NS beam trawl under 300kW'!$C$98</c:f>
              <c:strCache>
                <c:ptCount val="1"/>
                <c:pt idx="0">
                  <c:v>Blonde Ray</c:v>
                </c:pt>
              </c:strCache>
            </c:strRef>
          </c:tx>
          <c:spPr>
            <a:solidFill>
              <a:srgbClr val="FED825"/>
            </a:solidFill>
            <a:ln>
              <a:solidFill>
                <a:srgbClr val="FFFFFF"/>
              </a:solidFill>
            </a:ln>
          </c:spPr>
          <c:invertIfNegative val="0"/>
          <c:cat>
            <c:numRef>
              <c:f>'NS beam trawl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under 300kW'!$D$98:$M$98</c:f>
              <c:numCache>
                <c:formatCode>0%</c:formatCode>
                <c:ptCount val="10"/>
                <c:pt idx="9">
                  <c:v>1.5654253039332688E-4</c:v>
                </c:pt>
              </c:numCache>
            </c:numRef>
          </c:val>
          <c:extLst>
            <c:ext xmlns:c16="http://schemas.microsoft.com/office/drawing/2014/chart" uri="{C3380CC4-5D6E-409C-BE32-E72D297353CC}">
              <c16:uniqueId val="{00000006-F490-493D-8693-36D9BFB06457}"/>
            </c:ext>
          </c:extLst>
        </c:ser>
        <c:ser>
          <c:idx val="7"/>
          <c:order val="7"/>
          <c:tx>
            <c:strRef>
              <c:f>'NS beam trawl under 300kW'!$C$99</c:f>
              <c:strCache>
                <c:ptCount val="1"/>
                <c:pt idx="0">
                  <c:v>Brown Crab</c:v>
                </c:pt>
              </c:strCache>
            </c:strRef>
          </c:tx>
          <c:spPr>
            <a:solidFill>
              <a:srgbClr val="707271"/>
            </a:solidFill>
            <a:ln>
              <a:solidFill>
                <a:srgbClr val="FFFFFF"/>
              </a:solidFill>
            </a:ln>
          </c:spPr>
          <c:invertIfNegative val="0"/>
          <c:cat>
            <c:numRef>
              <c:f>'NS beam trawl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under 300kW'!$D$99:$M$99</c:f>
              <c:numCache>
                <c:formatCode>0%</c:formatCode>
                <c:ptCount val="10"/>
                <c:pt idx="7">
                  <c:v>3.4972799658942635E-2</c:v>
                </c:pt>
              </c:numCache>
            </c:numRef>
          </c:val>
          <c:extLst>
            <c:ext xmlns:c16="http://schemas.microsoft.com/office/drawing/2014/chart" uri="{C3380CC4-5D6E-409C-BE32-E72D297353CC}">
              <c16:uniqueId val="{00000007-F490-493D-8693-36D9BFB06457}"/>
            </c:ext>
          </c:extLst>
        </c:ser>
        <c:ser>
          <c:idx val="8"/>
          <c:order val="8"/>
          <c:tx>
            <c:strRef>
              <c:f>'NS beam trawl under 300kW'!$C$100</c:f>
              <c:strCache>
                <c:ptCount val="1"/>
                <c:pt idx="0">
                  <c:v>Lobsters</c:v>
                </c:pt>
              </c:strCache>
            </c:strRef>
          </c:tx>
          <c:spPr>
            <a:solidFill>
              <a:srgbClr val="51AA81"/>
            </a:solidFill>
            <a:ln>
              <a:solidFill>
                <a:srgbClr val="FFFFFF"/>
              </a:solidFill>
            </a:ln>
          </c:spPr>
          <c:invertIfNegative val="0"/>
          <c:cat>
            <c:numRef>
              <c:f>'NS beam trawl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under 300kW'!$D$100:$M$100</c:f>
              <c:numCache>
                <c:formatCode>0%</c:formatCode>
                <c:ptCount val="10"/>
                <c:pt idx="7">
                  <c:v>1.8101905407144212E-2</c:v>
                </c:pt>
              </c:numCache>
            </c:numRef>
          </c:val>
          <c:extLst>
            <c:ext xmlns:c16="http://schemas.microsoft.com/office/drawing/2014/chart" uri="{C3380CC4-5D6E-409C-BE32-E72D297353CC}">
              <c16:uniqueId val="{00000008-F490-493D-8693-36D9BFB06457}"/>
            </c:ext>
          </c:extLst>
        </c:ser>
        <c:ser>
          <c:idx val="9"/>
          <c:order val="9"/>
          <c:tx>
            <c:strRef>
              <c:f>'NS beam trawl under 300kW'!$C$101</c:f>
              <c:strCache>
                <c:ptCount val="1"/>
                <c:pt idx="0">
                  <c:v>Cockles</c:v>
                </c:pt>
              </c:strCache>
            </c:strRef>
          </c:tx>
          <c:spPr>
            <a:solidFill>
              <a:srgbClr val="169FDB"/>
            </a:solidFill>
            <a:ln>
              <a:solidFill>
                <a:srgbClr val="FFFFFF"/>
              </a:solidFill>
            </a:ln>
          </c:spPr>
          <c:invertIfNegative val="0"/>
          <c:cat>
            <c:numRef>
              <c:f>'NS beam trawl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under 300kW'!$D$101:$M$101</c:f>
              <c:numCache>
                <c:formatCode>0%</c:formatCode>
                <c:ptCount val="10"/>
                <c:pt idx="0">
                  <c:v>0.12030315793347739</c:v>
                </c:pt>
                <c:pt idx="1">
                  <c:v>9.7772231052043232E-2</c:v>
                </c:pt>
                <c:pt idx="2">
                  <c:v>0.14273414139646146</c:v>
                </c:pt>
                <c:pt idx="3">
                  <c:v>0.16625556390344598</c:v>
                </c:pt>
                <c:pt idx="5">
                  <c:v>2.543451329793567E-3</c:v>
                </c:pt>
                <c:pt idx="6">
                  <c:v>2.7078232119932596E-3</c:v>
                </c:pt>
              </c:numCache>
            </c:numRef>
          </c:val>
          <c:extLst>
            <c:ext xmlns:c16="http://schemas.microsoft.com/office/drawing/2014/chart" uri="{C3380CC4-5D6E-409C-BE32-E72D297353CC}">
              <c16:uniqueId val="{00000009-F490-493D-8693-36D9BFB06457}"/>
            </c:ext>
          </c:extLst>
        </c:ser>
        <c:ser>
          <c:idx val="10"/>
          <c:order val="10"/>
          <c:tx>
            <c:strRef>
              <c:f>'NS beam trawl under 300kW'!$C$102</c:f>
              <c:strCache>
                <c:ptCount val="1"/>
                <c:pt idx="0">
                  <c:v>Cod</c:v>
                </c:pt>
              </c:strCache>
            </c:strRef>
          </c:tx>
          <c:spPr>
            <a:solidFill>
              <a:srgbClr val="E40D2C"/>
            </a:solidFill>
            <a:ln>
              <a:solidFill>
                <a:srgbClr val="FFFFFF"/>
              </a:solidFill>
            </a:ln>
          </c:spPr>
          <c:invertIfNegative val="0"/>
          <c:cat>
            <c:numRef>
              <c:f>'NS beam trawl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under 300kW'!$D$102:$M$102</c:f>
              <c:numCache>
                <c:formatCode>0%</c:formatCode>
                <c:ptCount val="10"/>
                <c:pt idx="6">
                  <c:v>3.8814204480728843E-4</c:v>
                </c:pt>
              </c:numCache>
            </c:numRef>
          </c:val>
          <c:extLst>
            <c:ext xmlns:c16="http://schemas.microsoft.com/office/drawing/2014/chart" uri="{C3380CC4-5D6E-409C-BE32-E72D297353CC}">
              <c16:uniqueId val="{0000000A-F490-493D-8693-36D9BFB06457}"/>
            </c:ext>
          </c:extLst>
        </c:ser>
        <c:ser>
          <c:idx val="11"/>
          <c:order val="11"/>
          <c:tx>
            <c:strRef>
              <c:f>'NS beam trawl under 300kW'!$C$103</c:f>
              <c:strCache>
                <c:ptCount val="1"/>
                <c:pt idx="0">
                  <c:v>Nephrops</c:v>
                </c:pt>
              </c:strCache>
            </c:strRef>
          </c:tx>
          <c:spPr>
            <a:solidFill>
              <a:srgbClr val="B4C3E5"/>
            </a:solidFill>
            <a:ln>
              <a:solidFill>
                <a:srgbClr val="FFFFFF"/>
              </a:solidFill>
            </a:ln>
          </c:spPr>
          <c:invertIfNegative val="0"/>
          <c:cat>
            <c:numRef>
              <c:f>'NS beam trawl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under 300kW'!$D$103:$M$103</c:f>
              <c:numCache>
                <c:formatCode>0%</c:formatCode>
                <c:ptCount val="10"/>
                <c:pt idx="4">
                  <c:v>1.4638064064657445E-2</c:v>
                </c:pt>
              </c:numCache>
            </c:numRef>
          </c:val>
          <c:extLst>
            <c:ext xmlns:c16="http://schemas.microsoft.com/office/drawing/2014/chart" uri="{C3380CC4-5D6E-409C-BE32-E72D297353CC}">
              <c16:uniqueId val="{0000000B-F490-493D-8693-36D9BFB06457}"/>
            </c:ext>
          </c:extLst>
        </c:ser>
        <c:ser>
          <c:idx val="12"/>
          <c:order val="12"/>
          <c:tx>
            <c:strRef>
              <c:f>'NS beam trawl under 300kW'!$C$104</c:f>
              <c:strCache>
                <c:ptCount val="1"/>
                <c:pt idx="0">
                  <c:v>Whiting</c:v>
                </c:pt>
              </c:strCache>
            </c:strRef>
          </c:tx>
          <c:spPr>
            <a:solidFill>
              <a:srgbClr val="F8CBA1"/>
            </a:solidFill>
            <a:ln>
              <a:solidFill>
                <a:srgbClr val="FFFFFF"/>
              </a:solidFill>
            </a:ln>
          </c:spPr>
          <c:invertIfNegative val="0"/>
          <c:cat>
            <c:numRef>
              <c:f>'NS beam trawl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under 300kW'!$D$104:$M$104</c:f>
              <c:numCache>
                <c:formatCode>0%</c:formatCode>
                <c:ptCount val="10"/>
                <c:pt idx="4">
                  <c:v>1.3992433296469034E-3</c:v>
                </c:pt>
              </c:numCache>
            </c:numRef>
          </c:val>
          <c:extLst>
            <c:ext xmlns:c16="http://schemas.microsoft.com/office/drawing/2014/chart" uri="{C3380CC4-5D6E-409C-BE32-E72D297353CC}">
              <c16:uniqueId val="{0000000C-F490-493D-8693-36D9BFB06457}"/>
            </c:ext>
          </c:extLst>
        </c:ser>
        <c:ser>
          <c:idx val="13"/>
          <c:order val="13"/>
          <c:tx>
            <c:strRef>
              <c:f>'NS beam trawl under 300kW'!$C$105</c:f>
              <c:strCache>
                <c:ptCount val="1"/>
                <c:pt idx="0">
                  <c:v>Pink Shrimps</c:v>
                </c:pt>
              </c:strCache>
            </c:strRef>
          </c:tx>
          <c:spPr>
            <a:solidFill>
              <a:srgbClr val="C5CDA6"/>
            </a:solidFill>
            <a:ln>
              <a:solidFill>
                <a:srgbClr val="FFFFFF"/>
              </a:solidFill>
            </a:ln>
          </c:spPr>
          <c:invertIfNegative val="0"/>
          <c:cat>
            <c:numRef>
              <c:f>'NS beam trawl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under 300kW'!$D$105:$M$105</c:f>
              <c:numCache>
                <c:formatCode>0%</c:formatCode>
                <c:ptCount val="10"/>
                <c:pt idx="0">
                  <c:v>1.0661954741569318E-2</c:v>
                </c:pt>
                <c:pt idx="1">
                  <c:v>7.5626714770666379E-3</c:v>
                </c:pt>
                <c:pt idx="2">
                  <c:v>1.0064324158753774E-2</c:v>
                </c:pt>
                <c:pt idx="3">
                  <c:v>2.7391022272431113E-3</c:v>
                </c:pt>
              </c:numCache>
            </c:numRef>
          </c:val>
          <c:extLst>
            <c:ext xmlns:c16="http://schemas.microsoft.com/office/drawing/2014/chart" uri="{C3380CC4-5D6E-409C-BE32-E72D297353CC}">
              <c16:uniqueId val="{0000000D-F490-493D-8693-36D9BFB06457}"/>
            </c:ext>
          </c:extLst>
        </c:ser>
        <c:ser>
          <c:idx val="14"/>
          <c:order val="14"/>
          <c:tx>
            <c:strRef>
              <c:f>'NS beam trawl under 300kW'!$C$106</c:f>
              <c:strCache>
                <c:ptCount val="1"/>
                <c:pt idx="0">
                  <c:v>Bass</c:v>
                </c:pt>
              </c:strCache>
            </c:strRef>
          </c:tx>
          <c:spPr>
            <a:solidFill>
              <a:srgbClr val="E2E89F"/>
            </a:solidFill>
            <a:ln>
              <a:solidFill>
                <a:srgbClr val="FFFFFF"/>
              </a:solidFill>
            </a:ln>
          </c:spPr>
          <c:invertIfNegative val="0"/>
          <c:cat>
            <c:numRef>
              <c:f>'NS beam trawl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under 300kW'!$D$106:$M$106</c:f>
              <c:numCache>
                <c:formatCode>0%</c:formatCode>
                <c:ptCount val="10"/>
                <c:pt idx="0">
                  <c:v>6.443818662694085E-3</c:v>
                </c:pt>
              </c:numCache>
            </c:numRef>
          </c:val>
          <c:extLst>
            <c:ext xmlns:c16="http://schemas.microsoft.com/office/drawing/2014/chart" uri="{C3380CC4-5D6E-409C-BE32-E72D297353CC}">
              <c16:uniqueId val="{0000000E-F490-493D-8693-36D9BFB06457}"/>
            </c:ext>
          </c:extLst>
        </c:ser>
        <c:ser>
          <c:idx val="15"/>
          <c:order val="15"/>
          <c:tx>
            <c:strRef>
              <c:f>'NS beam trawl under 300kW'!$C$107</c:f>
              <c:strCache>
                <c:ptCount val="1"/>
                <c:pt idx="0">
                  <c:v>Others</c:v>
                </c:pt>
              </c:strCache>
            </c:strRef>
          </c:tx>
          <c:spPr>
            <a:solidFill>
              <a:srgbClr val="55585A"/>
            </a:solidFill>
            <a:ln>
              <a:solidFill>
                <a:srgbClr val="FFFFFF"/>
              </a:solidFill>
            </a:ln>
          </c:spPr>
          <c:invertIfNegative val="0"/>
          <c:cat>
            <c:numRef>
              <c:f>'NS beam trawl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beam trawl under 300kW'!$D$107:$M$107</c:f>
              <c:numCache>
                <c:formatCode>0%</c:formatCode>
                <c:ptCount val="10"/>
                <c:pt idx="0">
                  <c:v>7.8075827087951506E-3</c:v>
                </c:pt>
                <c:pt idx="1">
                  <c:v>5.3270898197671111E-3</c:v>
                </c:pt>
                <c:pt idx="2">
                  <c:v>7.0135736190726234E-3</c:v>
                </c:pt>
                <c:pt idx="3">
                  <c:v>0</c:v>
                </c:pt>
                <c:pt idx="4">
                  <c:v>2.282483490712809E-3</c:v>
                </c:pt>
                <c:pt idx="5">
                  <c:v>-1.2165742967762598E-8</c:v>
                </c:pt>
                <c:pt idx="6">
                  <c:v>4.5012009371946763E-5</c:v>
                </c:pt>
                <c:pt idx="7">
                  <c:v>1.6058394564809952E-4</c:v>
                </c:pt>
                <c:pt idx="8">
                  <c:v>1.3870459906775842E-3</c:v>
                </c:pt>
                <c:pt idx="9">
                  <c:v>4.2459893798794653E-4</c:v>
                </c:pt>
              </c:numCache>
            </c:numRef>
          </c:val>
          <c:extLst>
            <c:ext xmlns:c16="http://schemas.microsoft.com/office/drawing/2014/chart" uri="{C3380CC4-5D6E-409C-BE32-E72D297353CC}">
              <c16:uniqueId val="{0000000F-F490-493D-8693-36D9BFB06457}"/>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o250kW'!$A$48</c:f>
          <c:strCache>
            <c:ptCount val="1"/>
            <c:pt idx="0">
              <c:v>Landings per kW day at sea (kg)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B662-40DD-A5C0-82922CE3D8A0}"/>
              </c:ext>
            </c:extLst>
          </c:dPt>
          <c:dPt>
            <c:idx val="10"/>
            <c:bubble3D val="0"/>
            <c:spPr>
              <a:ln w="57150">
                <a:solidFill>
                  <a:srgbClr val="2273B9"/>
                </a:solidFill>
                <a:prstDash val="sysDot"/>
              </a:ln>
            </c:spPr>
            <c:extLst>
              <c:ext xmlns:c16="http://schemas.microsoft.com/office/drawing/2014/chart" uri="{C3380CC4-5D6E-409C-BE32-E72D297353CC}">
                <c16:uniqueId val="{00000003-B662-40DD-A5C0-82922CE3D8A0}"/>
              </c:ext>
            </c:extLst>
          </c:dPt>
          <c:cat>
            <c:numRef>
              <c:f>'Area VIIa nephrops o250kW'!$D$2:$N$2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'Area VIIa nephrops o250kW'!$D$21:$N$21</c:f>
              <c:numCache>
                <c:formatCode>#,##0.00</c:formatCode>
                <c:ptCount val="11"/>
                <c:pt idx="0">
                  <c:v>2.6763904818963438</c:v>
                </c:pt>
                <c:pt idx="1">
                  <c:v>2.493757903178019</c:v>
                </c:pt>
                <c:pt idx="2">
                  <c:v>2.2692347110750757</c:v>
                </c:pt>
                <c:pt idx="3">
                  <c:v>2.1480577556572968</c:v>
                </c:pt>
                <c:pt idx="4">
                  <c:v>2.4498943991317526</c:v>
                </c:pt>
                <c:pt idx="5">
                  <c:v>2.4082925636584998</c:v>
                </c:pt>
                <c:pt idx="6">
                  <c:v>2.474903497071852</c:v>
                </c:pt>
                <c:pt idx="7">
                  <c:v>2.3431638033052349</c:v>
                </c:pt>
                <c:pt idx="8">
                  <c:v>2.6144015964114602</c:v>
                </c:pt>
                <c:pt idx="9">
                  <c:v>2.9281541496958452</c:v>
                </c:pt>
                <c:pt idx="10">
                  <c:v>2.8682818352284025</c:v>
                </c:pt>
              </c:numCache>
            </c:numRef>
          </c:val>
          <c:smooth val="0"/>
          <c:extLst>
            <c:ext xmlns:c16="http://schemas.microsoft.com/office/drawing/2014/chart" uri="{C3380CC4-5D6E-409C-BE32-E72D297353CC}">
              <c16:uniqueId val="{00000004-B662-40DD-A5C0-82922CE3D8A0}"/>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 beam trawl under 300kW'!$B$162</c:f>
              <c:strCache>
                <c:ptCount val="1"/>
                <c:pt idx="0">
                  <c:v>Brown Shrimps</c:v>
                </c:pt>
              </c:strCache>
            </c:strRef>
          </c:tx>
          <c:spPr>
            <a:solidFill>
              <a:srgbClr val="2273B9"/>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300kW'!$C$162:$E$162</c:f>
              <c:numCache>
                <c:formatCode>0%</c:formatCode>
                <c:ptCount val="3"/>
                <c:pt idx="0">
                  <c:v>0</c:v>
                </c:pt>
                <c:pt idx="1">
                  <c:v>0.95158006234214643</c:v>
                </c:pt>
                <c:pt idx="2">
                  <c:v>0</c:v>
                </c:pt>
              </c:numCache>
            </c:numRef>
          </c:val>
          <c:extLst>
            <c:ext xmlns:c16="http://schemas.microsoft.com/office/drawing/2014/chart" uri="{C3380CC4-5D6E-409C-BE32-E72D297353CC}">
              <c16:uniqueId val="{00000000-01FA-4EE4-B011-9AAE59A4FCEF}"/>
            </c:ext>
          </c:extLst>
        </c:ser>
        <c:ser>
          <c:idx val="1"/>
          <c:order val="1"/>
          <c:tx>
            <c:strRef>
              <c:f>'NS beam trawl under 300kW'!$B$163</c:f>
              <c:strCache>
                <c:ptCount val="1"/>
                <c:pt idx="0">
                  <c:v>Whelks</c:v>
                </c:pt>
              </c:strCache>
            </c:strRef>
          </c:tx>
          <c:spPr>
            <a:solidFill>
              <a:srgbClr val="E87308"/>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300kW'!$C$163:$E$163</c:f>
              <c:numCache>
                <c:formatCode>0%</c:formatCode>
                <c:ptCount val="3"/>
                <c:pt idx="0">
                  <c:v>0</c:v>
                </c:pt>
                <c:pt idx="1">
                  <c:v>3.4308594664080795E-2</c:v>
                </c:pt>
                <c:pt idx="2">
                  <c:v>0</c:v>
                </c:pt>
              </c:numCache>
            </c:numRef>
          </c:val>
          <c:extLst>
            <c:ext xmlns:c16="http://schemas.microsoft.com/office/drawing/2014/chart" uri="{C3380CC4-5D6E-409C-BE32-E72D297353CC}">
              <c16:uniqueId val="{00000001-01FA-4EE4-B011-9AAE59A4FCEF}"/>
            </c:ext>
          </c:extLst>
        </c:ser>
        <c:ser>
          <c:idx val="2"/>
          <c:order val="2"/>
          <c:tx>
            <c:strRef>
              <c:f>'NS beam trawl under 300kW'!$B$164</c:f>
              <c:strCache>
                <c:ptCount val="1"/>
                <c:pt idx="0">
                  <c:v>Les. Spot. Dog</c:v>
                </c:pt>
              </c:strCache>
            </c:strRef>
          </c:tx>
          <c:spPr>
            <a:solidFill>
              <a:srgbClr val="0F9AA9"/>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300kW'!$C$164:$E$164</c:f>
              <c:numCache>
                <c:formatCode>0%</c:formatCode>
                <c:ptCount val="3"/>
                <c:pt idx="0">
                  <c:v>0</c:v>
                </c:pt>
                <c:pt idx="1">
                  <c:v>5.2786957546016996E-3</c:v>
                </c:pt>
                <c:pt idx="2">
                  <c:v>0</c:v>
                </c:pt>
              </c:numCache>
            </c:numRef>
          </c:val>
          <c:extLst>
            <c:ext xmlns:c16="http://schemas.microsoft.com/office/drawing/2014/chart" uri="{C3380CC4-5D6E-409C-BE32-E72D297353CC}">
              <c16:uniqueId val="{00000002-01FA-4EE4-B011-9AAE59A4FCEF}"/>
            </c:ext>
          </c:extLst>
        </c:ser>
        <c:ser>
          <c:idx val="3"/>
          <c:order val="3"/>
          <c:tx>
            <c:strRef>
              <c:f>'NS beam trawl under 300kW'!$B$165</c:f>
              <c:strCache>
                <c:ptCount val="1"/>
                <c:pt idx="0">
                  <c:v>Plaice</c:v>
                </c:pt>
              </c:strCache>
            </c:strRef>
          </c:tx>
          <c:spPr>
            <a:solidFill>
              <a:srgbClr val="C1D119"/>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300kW'!$C$165:$E$165</c:f>
              <c:numCache>
                <c:formatCode>0%</c:formatCode>
                <c:ptCount val="3"/>
                <c:pt idx="0">
                  <c:v>0</c:v>
                </c:pt>
                <c:pt idx="1">
                  <c:v>4.0701813873973624E-3</c:v>
                </c:pt>
                <c:pt idx="2">
                  <c:v>0</c:v>
                </c:pt>
              </c:numCache>
            </c:numRef>
          </c:val>
          <c:extLst>
            <c:ext xmlns:c16="http://schemas.microsoft.com/office/drawing/2014/chart" uri="{C3380CC4-5D6E-409C-BE32-E72D297353CC}">
              <c16:uniqueId val="{00000003-01FA-4EE4-B011-9AAE59A4FCEF}"/>
            </c:ext>
          </c:extLst>
        </c:ser>
        <c:ser>
          <c:idx val="4"/>
          <c:order val="4"/>
          <c:tx>
            <c:strRef>
              <c:f>'NS beam trawl under 300kW'!$B$166</c:f>
              <c:strCache>
                <c:ptCount val="1"/>
                <c:pt idx="0">
                  <c:v>Thornback Ray</c:v>
                </c:pt>
              </c:strCache>
            </c:strRef>
          </c:tx>
          <c:spPr>
            <a:solidFill>
              <a:srgbClr val="E84A38"/>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300kW'!$C$166:$E$166</c:f>
              <c:numCache>
                <c:formatCode>0%</c:formatCode>
                <c:ptCount val="3"/>
                <c:pt idx="0">
                  <c:v>0</c:v>
                </c:pt>
                <c:pt idx="1">
                  <c:v>2.6556765457295172E-3</c:v>
                </c:pt>
                <c:pt idx="2">
                  <c:v>0</c:v>
                </c:pt>
              </c:numCache>
            </c:numRef>
          </c:val>
          <c:extLst>
            <c:ext xmlns:c16="http://schemas.microsoft.com/office/drawing/2014/chart" uri="{C3380CC4-5D6E-409C-BE32-E72D297353CC}">
              <c16:uniqueId val="{00000004-01FA-4EE4-B011-9AAE59A4FCEF}"/>
            </c:ext>
          </c:extLst>
        </c:ser>
        <c:ser>
          <c:idx val="5"/>
          <c:order val="5"/>
          <c:tx>
            <c:strRef>
              <c:f>'NS beam trawl under 300kW'!$B$167</c:f>
              <c:strCache>
                <c:ptCount val="1"/>
                <c:pt idx="0">
                  <c:v>Others</c:v>
                </c:pt>
              </c:strCache>
            </c:strRef>
          </c:tx>
          <c:spPr>
            <a:solidFill>
              <a:srgbClr val="55585A"/>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300kW'!$C$167:$E$167</c:f>
              <c:numCache>
                <c:formatCode>0%</c:formatCode>
                <c:ptCount val="3"/>
                <c:pt idx="0">
                  <c:v>0</c:v>
                </c:pt>
                <c:pt idx="1">
                  <c:v>2.1067893060442433E-3</c:v>
                </c:pt>
                <c:pt idx="2">
                  <c:v>0</c:v>
                </c:pt>
              </c:numCache>
            </c:numRef>
          </c:val>
          <c:extLst>
            <c:ext xmlns:c16="http://schemas.microsoft.com/office/drawing/2014/chart" uri="{C3380CC4-5D6E-409C-BE32-E72D297353CC}">
              <c16:uniqueId val="{00000005-01FA-4EE4-B011-9AAE59A4FCEF}"/>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 beam trawl under 300kW'!$H$162</c:f>
              <c:strCache>
                <c:ptCount val="1"/>
                <c:pt idx="0">
                  <c:v>Brown Shrimps</c:v>
                </c:pt>
              </c:strCache>
            </c:strRef>
          </c:tx>
          <c:spPr>
            <a:solidFill>
              <a:srgbClr val="2273B9"/>
            </a:solidFill>
            <a:ln>
              <a:solidFill>
                <a:srgbClr val="FFFFFF"/>
              </a:solidFill>
            </a:ln>
          </c:spPr>
          <c:invertIfNegative val="0"/>
          <c:cat>
            <c:strRef>
              <c:f>'NS beam trawl under 300kW'!$I$161:$K$161</c:f>
              <c:strCache>
                <c:ptCount val="3"/>
                <c:pt idx="0">
                  <c:v>Most
profitable
quartile</c:v>
                </c:pt>
                <c:pt idx="1">
                  <c:v>Middle 
two quartiles</c:v>
                </c:pt>
                <c:pt idx="2">
                  <c:v>Least
profitable
quartile</c:v>
                </c:pt>
              </c:strCache>
            </c:strRef>
          </c:cat>
          <c:val>
            <c:numRef>
              <c:f>'NS beam trawl under 300kW'!$I$162:$K$162</c:f>
              <c:numCache>
                <c:formatCode>0%</c:formatCode>
                <c:ptCount val="3"/>
                <c:pt idx="0">
                  <c:v>0</c:v>
                </c:pt>
                <c:pt idx="1">
                  <c:v>0.97075319907077884</c:v>
                </c:pt>
                <c:pt idx="2">
                  <c:v>0</c:v>
                </c:pt>
              </c:numCache>
            </c:numRef>
          </c:val>
          <c:extLst>
            <c:ext xmlns:c16="http://schemas.microsoft.com/office/drawing/2014/chart" uri="{C3380CC4-5D6E-409C-BE32-E72D297353CC}">
              <c16:uniqueId val="{00000000-EAED-433C-A0F4-17F37D7C7B46}"/>
            </c:ext>
          </c:extLst>
        </c:ser>
        <c:ser>
          <c:idx val="1"/>
          <c:order val="1"/>
          <c:tx>
            <c:strRef>
              <c:f>'NS beam trawl under 300kW'!$H$163</c:f>
              <c:strCache>
                <c:ptCount val="1"/>
                <c:pt idx="0">
                  <c:v>Whelks</c:v>
                </c:pt>
              </c:strCache>
            </c:strRef>
          </c:tx>
          <c:spPr>
            <a:solidFill>
              <a:srgbClr val="E87308"/>
            </a:solidFill>
            <a:ln>
              <a:solidFill>
                <a:srgbClr val="FFFFFF"/>
              </a:solidFill>
            </a:ln>
          </c:spPr>
          <c:invertIfNegative val="0"/>
          <c:cat>
            <c:strRef>
              <c:f>'NS beam trawl under 300kW'!$I$161:$K$161</c:f>
              <c:strCache>
                <c:ptCount val="3"/>
                <c:pt idx="0">
                  <c:v>Most
profitable
quartile</c:v>
                </c:pt>
                <c:pt idx="1">
                  <c:v>Middle 
two quartiles</c:v>
                </c:pt>
                <c:pt idx="2">
                  <c:v>Least
profitable
quartile</c:v>
                </c:pt>
              </c:strCache>
            </c:strRef>
          </c:cat>
          <c:val>
            <c:numRef>
              <c:f>'NS beam trawl under 300kW'!$I$163:$K$163</c:f>
              <c:numCache>
                <c:formatCode>0%</c:formatCode>
                <c:ptCount val="3"/>
                <c:pt idx="0">
                  <c:v>0</c:v>
                </c:pt>
                <c:pt idx="1">
                  <c:v>1.8440805498201825E-2</c:v>
                </c:pt>
                <c:pt idx="2">
                  <c:v>0</c:v>
                </c:pt>
              </c:numCache>
            </c:numRef>
          </c:val>
          <c:extLst>
            <c:ext xmlns:c16="http://schemas.microsoft.com/office/drawing/2014/chart" uri="{C3380CC4-5D6E-409C-BE32-E72D297353CC}">
              <c16:uniqueId val="{00000001-EAED-433C-A0F4-17F37D7C7B46}"/>
            </c:ext>
          </c:extLst>
        </c:ser>
        <c:ser>
          <c:idx val="2"/>
          <c:order val="2"/>
          <c:tx>
            <c:strRef>
              <c:f>'NS beam trawl under 300kW'!$H$164</c:f>
              <c:strCache>
                <c:ptCount val="1"/>
                <c:pt idx="0">
                  <c:v>Sole</c:v>
                </c:pt>
              </c:strCache>
            </c:strRef>
          </c:tx>
          <c:spPr>
            <a:solidFill>
              <a:srgbClr val="648C2E"/>
            </a:solidFill>
            <a:ln>
              <a:solidFill>
                <a:srgbClr val="FFFFFF"/>
              </a:solidFill>
            </a:ln>
          </c:spPr>
          <c:invertIfNegative val="0"/>
          <c:cat>
            <c:strRef>
              <c:f>'NS beam trawl under 300kW'!$I$161:$K$161</c:f>
              <c:strCache>
                <c:ptCount val="3"/>
                <c:pt idx="0">
                  <c:v>Most
profitable
quartile</c:v>
                </c:pt>
                <c:pt idx="1">
                  <c:v>Middle 
two quartiles</c:v>
                </c:pt>
                <c:pt idx="2">
                  <c:v>Least
profitable
quartile</c:v>
                </c:pt>
              </c:strCache>
            </c:strRef>
          </c:cat>
          <c:val>
            <c:numRef>
              <c:f>'NS beam trawl under 300kW'!$I$164:$K$164</c:f>
              <c:numCache>
                <c:formatCode>0%</c:formatCode>
                <c:ptCount val="3"/>
                <c:pt idx="0">
                  <c:v>0</c:v>
                </c:pt>
                <c:pt idx="1">
                  <c:v>4.0690193771238193E-3</c:v>
                </c:pt>
                <c:pt idx="2">
                  <c:v>0</c:v>
                </c:pt>
              </c:numCache>
            </c:numRef>
          </c:val>
          <c:extLst>
            <c:ext xmlns:c16="http://schemas.microsoft.com/office/drawing/2014/chart" uri="{C3380CC4-5D6E-409C-BE32-E72D297353CC}">
              <c16:uniqueId val="{00000002-EAED-433C-A0F4-17F37D7C7B46}"/>
            </c:ext>
          </c:extLst>
        </c:ser>
        <c:ser>
          <c:idx val="3"/>
          <c:order val="3"/>
          <c:tx>
            <c:strRef>
              <c:f>'NS beam trawl under 300kW'!$H$165</c:f>
              <c:strCache>
                <c:ptCount val="1"/>
                <c:pt idx="0">
                  <c:v>Plaice</c:v>
                </c:pt>
              </c:strCache>
            </c:strRef>
          </c:tx>
          <c:spPr>
            <a:solidFill>
              <a:srgbClr val="C1D119"/>
            </a:solidFill>
            <a:ln>
              <a:solidFill>
                <a:srgbClr val="FFFFFF"/>
              </a:solidFill>
            </a:ln>
          </c:spPr>
          <c:invertIfNegative val="0"/>
          <c:cat>
            <c:strRef>
              <c:f>'NS beam trawl under 300kW'!$I$161:$K$161</c:f>
              <c:strCache>
                <c:ptCount val="3"/>
                <c:pt idx="0">
                  <c:v>Most
profitable
quartile</c:v>
                </c:pt>
                <c:pt idx="1">
                  <c:v>Middle 
two quartiles</c:v>
                </c:pt>
                <c:pt idx="2">
                  <c:v>Least
profitable
quartile</c:v>
                </c:pt>
              </c:strCache>
            </c:strRef>
          </c:cat>
          <c:val>
            <c:numRef>
              <c:f>'NS beam trawl under 300kW'!$I$165:$K$165</c:f>
              <c:numCache>
                <c:formatCode>0%</c:formatCode>
                <c:ptCount val="3"/>
                <c:pt idx="0">
                  <c:v>0</c:v>
                </c:pt>
                <c:pt idx="1">
                  <c:v>3.6229319070200604E-3</c:v>
                </c:pt>
                <c:pt idx="2">
                  <c:v>0</c:v>
                </c:pt>
              </c:numCache>
            </c:numRef>
          </c:val>
          <c:extLst>
            <c:ext xmlns:c16="http://schemas.microsoft.com/office/drawing/2014/chart" uri="{C3380CC4-5D6E-409C-BE32-E72D297353CC}">
              <c16:uniqueId val="{00000003-EAED-433C-A0F4-17F37D7C7B46}"/>
            </c:ext>
          </c:extLst>
        </c:ser>
        <c:ser>
          <c:idx val="4"/>
          <c:order val="4"/>
          <c:tx>
            <c:strRef>
              <c:f>'NS beam trawl under 300kW'!$H$166</c:f>
              <c:strCache>
                <c:ptCount val="1"/>
                <c:pt idx="0">
                  <c:v>Thornback Ray</c:v>
                </c:pt>
              </c:strCache>
            </c:strRef>
          </c:tx>
          <c:spPr>
            <a:solidFill>
              <a:srgbClr val="E84A38"/>
            </a:solidFill>
            <a:ln>
              <a:solidFill>
                <a:srgbClr val="FFFFFF"/>
              </a:solidFill>
            </a:ln>
          </c:spPr>
          <c:invertIfNegative val="0"/>
          <c:cat>
            <c:strRef>
              <c:f>'NS beam trawl under 300kW'!$I$161:$K$161</c:f>
              <c:strCache>
                <c:ptCount val="3"/>
                <c:pt idx="0">
                  <c:v>Most
profitable
quartile</c:v>
                </c:pt>
                <c:pt idx="1">
                  <c:v>Middle 
two quartiles</c:v>
                </c:pt>
                <c:pt idx="2">
                  <c:v>Least
profitable
quartile</c:v>
                </c:pt>
              </c:strCache>
            </c:strRef>
          </c:cat>
          <c:val>
            <c:numRef>
              <c:f>'NS beam trawl under 300kW'!$I$166:$K$166</c:f>
              <c:numCache>
                <c:formatCode>0%</c:formatCode>
                <c:ptCount val="3"/>
                <c:pt idx="0">
                  <c:v>0</c:v>
                </c:pt>
                <c:pt idx="1">
                  <c:v>9.6095341166496651E-4</c:v>
                </c:pt>
                <c:pt idx="2">
                  <c:v>0</c:v>
                </c:pt>
              </c:numCache>
            </c:numRef>
          </c:val>
          <c:extLst>
            <c:ext xmlns:c16="http://schemas.microsoft.com/office/drawing/2014/chart" uri="{C3380CC4-5D6E-409C-BE32-E72D297353CC}">
              <c16:uniqueId val="{00000004-EAED-433C-A0F4-17F37D7C7B46}"/>
            </c:ext>
          </c:extLst>
        </c:ser>
        <c:ser>
          <c:idx val="5"/>
          <c:order val="5"/>
          <c:tx>
            <c:strRef>
              <c:f>'NS beam trawl under 300kW'!$H$167</c:f>
              <c:strCache>
                <c:ptCount val="1"/>
                <c:pt idx="0">
                  <c:v>Others</c:v>
                </c:pt>
              </c:strCache>
            </c:strRef>
          </c:tx>
          <c:spPr>
            <a:solidFill>
              <a:srgbClr val="55585A"/>
            </a:solidFill>
            <a:ln>
              <a:solidFill>
                <a:srgbClr val="FFFFFF"/>
              </a:solidFill>
            </a:ln>
          </c:spPr>
          <c:invertIfNegative val="0"/>
          <c:cat>
            <c:strRef>
              <c:f>'NS beam trawl under 300kW'!$I$161:$K$161</c:f>
              <c:strCache>
                <c:ptCount val="3"/>
                <c:pt idx="0">
                  <c:v>Most
profitable
quartile</c:v>
                </c:pt>
                <c:pt idx="1">
                  <c:v>Middle 
two quartiles</c:v>
                </c:pt>
                <c:pt idx="2">
                  <c:v>Least
profitable
quartile</c:v>
                </c:pt>
              </c:strCache>
            </c:strRef>
          </c:cat>
          <c:val>
            <c:numRef>
              <c:f>'NS beam trawl under 300kW'!$I$167:$K$167</c:f>
              <c:numCache>
                <c:formatCode>0%</c:formatCode>
                <c:ptCount val="3"/>
                <c:pt idx="0">
                  <c:v>0</c:v>
                </c:pt>
                <c:pt idx="1">
                  <c:v>2.1530907352105277E-3</c:v>
                </c:pt>
                <c:pt idx="2">
                  <c:v>0</c:v>
                </c:pt>
              </c:numCache>
            </c:numRef>
          </c:val>
          <c:extLst>
            <c:ext xmlns:c16="http://schemas.microsoft.com/office/drawing/2014/chart" uri="{C3380CC4-5D6E-409C-BE32-E72D297353CC}">
              <c16:uniqueId val="{00000005-EAED-433C-A0F4-17F37D7C7B46}"/>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 beam trawl under 300kW'!$K$139</c:f>
              <c:strCache>
                <c:ptCount val="1"/>
                <c:pt idx="0">
                  <c:v>Total income</c:v>
                </c:pt>
              </c:strCache>
            </c:strRef>
          </c:tx>
          <c:spPr>
            <a:solidFill>
              <a:srgbClr val="087CBB"/>
            </a:solidFill>
            <a:ln>
              <a:solidFill>
                <a:schemeClr val="accent1"/>
              </a:solidFill>
            </a:ln>
          </c:spPr>
          <c:invertIfNegative val="0"/>
          <c:cat>
            <c:strRef>
              <c:f>'NS beam trawl under 300kW'!$L$138:$N$138</c:f>
              <c:strCache>
                <c:ptCount val="3"/>
                <c:pt idx="0">
                  <c:v>Most
profitable
quartile</c:v>
                </c:pt>
                <c:pt idx="1">
                  <c:v>Middle
two quartiles</c:v>
                </c:pt>
                <c:pt idx="2">
                  <c:v>Least
profitable
quartile</c:v>
                </c:pt>
              </c:strCache>
            </c:strRef>
          </c:cat>
          <c:val>
            <c:numRef>
              <c:f>'NS beam trawl under 300kW'!$L$139:$N$139</c:f>
              <c:numCache>
                <c:formatCode>#,##0</c:formatCode>
                <c:ptCount val="3"/>
                <c:pt idx="0">
                  <c:v>0</c:v>
                </c:pt>
                <c:pt idx="1">
                  <c:v>48.034970703124998</c:v>
                </c:pt>
                <c:pt idx="2">
                  <c:v>0</c:v>
                </c:pt>
              </c:numCache>
            </c:numRef>
          </c:val>
          <c:extLst>
            <c:ext xmlns:c16="http://schemas.microsoft.com/office/drawing/2014/chart" uri="{C3380CC4-5D6E-409C-BE32-E72D297353CC}">
              <c16:uniqueId val="{00000000-0DA3-43EE-BFA5-D3D96AE3C073}"/>
            </c:ext>
          </c:extLst>
        </c:ser>
        <c:ser>
          <c:idx val="1"/>
          <c:order val="1"/>
          <c:tx>
            <c:strRef>
              <c:f>'NS beam trawl under 300kW'!$K$140</c:f>
              <c:strCache>
                <c:ptCount val="1"/>
                <c:pt idx="0">
                  <c:v>Operating costs</c:v>
                </c:pt>
              </c:strCache>
            </c:strRef>
          </c:tx>
          <c:spPr>
            <a:solidFill>
              <a:srgbClr val="E87308"/>
            </a:solidFill>
          </c:spPr>
          <c:invertIfNegative val="0"/>
          <c:cat>
            <c:strRef>
              <c:f>'NS beam trawl under 300kW'!$L$138:$N$138</c:f>
              <c:strCache>
                <c:ptCount val="3"/>
                <c:pt idx="0">
                  <c:v>Most
profitable
quartile</c:v>
                </c:pt>
                <c:pt idx="1">
                  <c:v>Middle
two quartiles</c:v>
                </c:pt>
                <c:pt idx="2">
                  <c:v>Least
profitable
quartile</c:v>
                </c:pt>
              </c:strCache>
            </c:strRef>
          </c:cat>
          <c:val>
            <c:numRef>
              <c:f>'NS beam trawl under 300kW'!$L$140:$N$140</c:f>
              <c:numCache>
                <c:formatCode>#,##0</c:formatCode>
                <c:ptCount val="3"/>
                <c:pt idx="0">
                  <c:v>0</c:v>
                </c:pt>
                <c:pt idx="1">
                  <c:v>83.893785156250004</c:v>
                </c:pt>
                <c:pt idx="2">
                  <c:v>0</c:v>
                </c:pt>
              </c:numCache>
            </c:numRef>
          </c:val>
          <c:extLst>
            <c:ext xmlns:c16="http://schemas.microsoft.com/office/drawing/2014/chart" uri="{C3380CC4-5D6E-409C-BE32-E72D297353CC}">
              <c16:uniqueId val="{00000001-0DA3-43EE-BFA5-D3D96AE3C073}"/>
            </c:ext>
          </c:extLst>
        </c:ser>
        <c:ser>
          <c:idx val="2"/>
          <c:order val="2"/>
          <c:tx>
            <c:strRef>
              <c:f>'NS beam trawl under 300kW'!$K$141</c:f>
              <c:strCache>
                <c:ptCount val="1"/>
                <c:pt idx="0">
                  <c:v>Operating profit</c:v>
                </c:pt>
              </c:strCache>
            </c:strRef>
          </c:tx>
          <c:spPr>
            <a:solidFill>
              <a:srgbClr val="51AA81"/>
            </a:solidFill>
          </c:spPr>
          <c:invertIfNegative val="0"/>
          <c:cat>
            <c:strRef>
              <c:f>'NS beam trawl under 300kW'!$L$138:$N$138</c:f>
              <c:strCache>
                <c:ptCount val="3"/>
                <c:pt idx="0">
                  <c:v>Most
profitable
quartile</c:v>
                </c:pt>
                <c:pt idx="1">
                  <c:v>Middle
two quartiles</c:v>
                </c:pt>
                <c:pt idx="2">
                  <c:v>Least
profitable
quartile</c:v>
                </c:pt>
              </c:strCache>
            </c:strRef>
          </c:cat>
          <c:val>
            <c:numRef>
              <c:f>'NS beam trawl under 300kW'!$L$141:$N$141</c:f>
              <c:numCache>
                <c:formatCode>#,##0</c:formatCode>
                <c:ptCount val="3"/>
                <c:pt idx="0">
                  <c:v>0</c:v>
                </c:pt>
                <c:pt idx="1">
                  <c:v>-35.858814453124999</c:v>
                </c:pt>
                <c:pt idx="2">
                  <c:v>0</c:v>
                </c:pt>
              </c:numCache>
            </c:numRef>
          </c:val>
          <c:extLst>
            <c:ext xmlns:c16="http://schemas.microsoft.com/office/drawing/2014/chart" uri="{C3380CC4-5D6E-409C-BE32-E72D297353CC}">
              <c16:uniqueId val="{00000002-0DA3-43EE-BFA5-D3D96AE3C073}"/>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 beam trawl under 300kW'!$K$142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300kW'!$A$48</c:f>
          <c:strCache>
            <c:ptCount val="1"/>
            <c:pt idx="0">
              <c:v>Landings per kW day at sea (kg)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FC4A-49DC-92D3-C3F79E3A054D}"/>
              </c:ext>
            </c:extLst>
          </c:dPt>
          <c:dPt>
            <c:idx val="10"/>
            <c:bubble3D val="0"/>
            <c:spPr>
              <a:ln w="57150">
                <a:solidFill>
                  <a:srgbClr val="2273B9"/>
                </a:solidFill>
                <a:prstDash val="sysDot"/>
              </a:ln>
            </c:spPr>
            <c:extLst>
              <c:ext xmlns:c16="http://schemas.microsoft.com/office/drawing/2014/chart" uri="{C3380CC4-5D6E-409C-BE32-E72D297353CC}">
                <c16:uniqueId val="{00000003-FC4A-49DC-92D3-C3F79E3A054D}"/>
              </c:ext>
            </c:extLst>
          </c:dPt>
          <c:cat>
            <c:numRef>
              <c:f>'NS nephrops over 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 nephrops over 300kW'!$D$21:$N$21</c:f>
              <c:numCache>
                <c:formatCode>#,##0.00</c:formatCode>
                <c:ptCount val="11"/>
                <c:pt idx="0">
                  <c:v>2.4523713397555462</c:v>
                </c:pt>
                <c:pt idx="1">
                  <c:v>2.5428563450425679</c:v>
                </c:pt>
                <c:pt idx="2">
                  <c:v>2.6160266558667833</c:v>
                </c:pt>
                <c:pt idx="3">
                  <c:v>2.7120510853008399</c:v>
                </c:pt>
                <c:pt idx="4">
                  <c:v>2.3938808048586151</c:v>
                </c:pt>
                <c:pt idx="5">
                  <c:v>2.571719803006042</c:v>
                </c:pt>
                <c:pt idx="6">
                  <c:v>3.0658547201577124</c:v>
                </c:pt>
                <c:pt idx="7">
                  <c:v>3.041431673400421</c:v>
                </c:pt>
                <c:pt idx="8">
                  <c:v>3.2838158004743545</c:v>
                </c:pt>
                <c:pt idx="9">
                  <c:v>3.1318263902879844</c:v>
                </c:pt>
                <c:pt idx="10">
                  <c:v>3.1376440958504936</c:v>
                </c:pt>
              </c:numCache>
            </c:numRef>
          </c:val>
          <c:smooth val="0"/>
          <c:extLst>
            <c:ext xmlns:c16="http://schemas.microsoft.com/office/drawing/2014/chart" uri="{C3380CC4-5D6E-409C-BE32-E72D297353CC}">
              <c16:uniqueId val="{00000004-FC4A-49DC-92D3-C3F79E3A054D}"/>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300kW'!$A$49</c:f>
          <c:strCache>
            <c:ptCount val="1"/>
            <c:pt idx="0">
              <c:v>Fishing income per kW day at sea (£)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9183-41B1-B09C-C84604866CC1}"/>
              </c:ext>
            </c:extLst>
          </c:dPt>
          <c:dPt>
            <c:idx val="10"/>
            <c:bubble3D val="0"/>
            <c:spPr>
              <a:ln w="57150">
                <a:solidFill>
                  <a:srgbClr val="648C2E"/>
                </a:solidFill>
                <a:prstDash val="sysDot"/>
              </a:ln>
            </c:spPr>
            <c:extLst>
              <c:ext xmlns:c16="http://schemas.microsoft.com/office/drawing/2014/chart" uri="{C3380CC4-5D6E-409C-BE32-E72D297353CC}">
                <c16:uniqueId val="{00000003-9183-41B1-B09C-C84604866CC1}"/>
              </c:ext>
            </c:extLst>
          </c:dPt>
          <c:cat>
            <c:numRef>
              <c:f>'NS nephrops over 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 nephrops over 300kW'!$D$22:$N$22</c:f>
              <c:numCache>
                <c:formatCode>#,##0.00</c:formatCode>
                <c:ptCount val="11"/>
                <c:pt idx="0">
                  <c:v>8.5540573881921596</c:v>
                </c:pt>
                <c:pt idx="1">
                  <c:v>7.8617040815771499</c:v>
                </c:pt>
                <c:pt idx="2">
                  <c:v>6.3947896592251796</c:v>
                </c:pt>
                <c:pt idx="3">
                  <c:v>7.5778037288528397</c:v>
                </c:pt>
                <c:pt idx="4">
                  <c:v>6.0551487721494199</c:v>
                </c:pt>
                <c:pt idx="5">
                  <c:v>7.4457986781265699</c:v>
                </c:pt>
                <c:pt idx="6">
                  <c:v>8.7696428976463405</c:v>
                </c:pt>
                <c:pt idx="7">
                  <c:v>7.7241440006175299</c:v>
                </c:pt>
                <c:pt idx="8">
                  <c:v>8.6705577031039205</c:v>
                </c:pt>
                <c:pt idx="9">
                  <c:v>6.02097991875792</c:v>
                </c:pt>
                <c:pt idx="10">
                  <c:v>7.377484462023685</c:v>
                </c:pt>
              </c:numCache>
            </c:numRef>
          </c:val>
          <c:smooth val="0"/>
          <c:extLst>
            <c:ext xmlns:c16="http://schemas.microsoft.com/office/drawing/2014/chart" uri="{C3380CC4-5D6E-409C-BE32-E72D297353CC}">
              <c16:uniqueId val="{00000004-9183-41B1-B09C-C84604866CC1}"/>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300kW'!$B$62</c:f>
          <c:strCache>
            <c:ptCount val="1"/>
            <c:pt idx="0">
              <c:v>Total cost per kW day at sea (£)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03F2-47FB-82E7-F14C3011EF69}"/>
              </c:ext>
            </c:extLst>
          </c:dPt>
          <c:dPt>
            <c:idx val="10"/>
            <c:bubble3D val="0"/>
            <c:spPr>
              <a:ln w="57150">
                <a:solidFill>
                  <a:srgbClr val="087CBB"/>
                </a:solidFill>
                <a:prstDash val="sysDot"/>
              </a:ln>
            </c:spPr>
            <c:extLst>
              <c:ext xmlns:c16="http://schemas.microsoft.com/office/drawing/2014/chart" uri="{C3380CC4-5D6E-409C-BE32-E72D297353CC}">
                <c16:uniqueId val="{00000003-03F2-47FB-82E7-F14C3011EF69}"/>
              </c:ext>
            </c:extLst>
          </c:dPt>
          <c:cat>
            <c:numRef>
              <c:f>'NS nephrops over 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 nephrops over 300kW'!$D$23:$N$23</c:f>
              <c:numCache>
                <c:formatCode>#,##0.00</c:formatCode>
                <c:ptCount val="11"/>
                <c:pt idx="0">
                  <c:v>7.85320707110239</c:v>
                </c:pt>
                <c:pt idx="1">
                  <c:v>7.3929740199374203</c:v>
                </c:pt>
                <c:pt idx="2">
                  <c:v>6.12078503833889</c:v>
                </c:pt>
                <c:pt idx="3">
                  <c:v>7.41003788191761</c:v>
                </c:pt>
                <c:pt idx="4">
                  <c:v>5.7860993121216797</c:v>
                </c:pt>
                <c:pt idx="5">
                  <c:v>6.8698041854691096</c:v>
                </c:pt>
                <c:pt idx="6">
                  <c:v>7.9393354153437397</c:v>
                </c:pt>
                <c:pt idx="7">
                  <c:v>7.9483005379272296</c:v>
                </c:pt>
                <c:pt idx="8">
                  <c:v>7.9621642924737301</c:v>
                </c:pt>
                <c:pt idx="9">
                  <c:v>6.5960063619996498</c:v>
                </c:pt>
                <c:pt idx="10">
                  <c:v>7.3170937356009711</c:v>
                </c:pt>
              </c:numCache>
            </c:numRef>
          </c:val>
          <c:smooth val="0"/>
          <c:extLst>
            <c:ext xmlns:c16="http://schemas.microsoft.com/office/drawing/2014/chart" uri="{C3380CC4-5D6E-409C-BE32-E72D297353CC}">
              <c16:uniqueId val="{00000004-03F2-47FB-82E7-F14C3011EF69}"/>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300kW'!$K$48</c:f>
          <c:strCache>
            <c:ptCount val="1"/>
            <c:pt idx="0">
              <c:v>Operating profit per kW day at sea (£)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C878-4307-9290-45596BC98B15}"/>
              </c:ext>
            </c:extLst>
          </c:dPt>
          <c:dPt>
            <c:idx val="10"/>
            <c:bubble3D val="0"/>
            <c:spPr>
              <a:ln w="57150">
                <a:solidFill>
                  <a:schemeClr val="accent3"/>
                </a:solidFill>
                <a:prstDash val="sysDot"/>
              </a:ln>
            </c:spPr>
            <c:extLst>
              <c:ext xmlns:c16="http://schemas.microsoft.com/office/drawing/2014/chart" uri="{C3380CC4-5D6E-409C-BE32-E72D297353CC}">
                <c16:uniqueId val="{00000003-C878-4307-9290-45596BC98B15}"/>
              </c:ext>
            </c:extLst>
          </c:dPt>
          <c:cat>
            <c:numRef>
              <c:f>'NS nephrops over 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 nephrops over 300kW'!$D$24:$N$24</c:f>
              <c:numCache>
                <c:formatCode>#,##0.00</c:formatCode>
                <c:ptCount val="11"/>
                <c:pt idx="0">
                  <c:v>0.97816448946064105</c:v>
                </c:pt>
                <c:pt idx="1">
                  <c:v>0.84055273684523202</c:v>
                </c:pt>
                <c:pt idx="2">
                  <c:v>0.58453637068881803</c:v>
                </c:pt>
                <c:pt idx="3">
                  <c:v>0.63884647733671296</c:v>
                </c:pt>
                <c:pt idx="4">
                  <c:v>0.64037965113676498</c:v>
                </c:pt>
                <c:pt idx="5">
                  <c:v>1.0580165225657601</c:v>
                </c:pt>
                <c:pt idx="6">
                  <c:v>1.12860210612858</c:v>
                </c:pt>
                <c:pt idx="7">
                  <c:v>6.3222194831472497E-2</c:v>
                </c:pt>
                <c:pt idx="8">
                  <c:v>1.02798095538597</c:v>
                </c:pt>
                <c:pt idx="9">
                  <c:v>-7.1216980690330701E-3</c:v>
                </c:pt>
                <c:pt idx="10">
                  <c:v>0.48452606335317683</c:v>
                </c:pt>
              </c:numCache>
            </c:numRef>
          </c:val>
          <c:smooth val="0"/>
          <c:extLst>
            <c:ext xmlns:c16="http://schemas.microsoft.com/office/drawing/2014/chart" uri="{C3380CC4-5D6E-409C-BE32-E72D297353CC}">
              <c16:uniqueId val="{00000004-C878-4307-9290-45596BC98B15}"/>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300kW'!$A$50</c:f>
          <c:strCache>
            <c:ptCount val="1"/>
            <c:pt idx="0">
              <c:v>Average price per tonne landed (£)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B1BF-4563-8857-35E742FD71B3}"/>
              </c:ext>
            </c:extLst>
          </c:dPt>
          <c:dPt>
            <c:idx val="10"/>
            <c:bubble3D val="0"/>
            <c:spPr>
              <a:ln w="57150">
                <a:solidFill>
                  <a:schemeClr val="accent4"/>
                </a:solidFill>
                <a:prstDash val="sysDot"/>
              </a:ln>
            </c:spPr>
            <c:extLst>
              <c:ext xmlns:c16="http://schemas.microsoft.com/office/drawing/2014/chart" uri="{C3380CC4-5D6E-409C-BE32-E72D297353CC}">
                <c16:uniqueId val="{00000003-B1BF-4563-8857-35E742FD71B3}"/>
              </c:ext>
            </c:extLst>
          </c:dPt>
          <c:cat>
            <c:numRef>
              <c:f>'NS nephrops over 300kW'!$D$2:$M$2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nephrops over 300kW'!$D$20:$N$20</c:f>
              <c:numCache>
                <c:formatCode>#,##0</c:formatCode>
                <c:ptCount val="11"/>
                <c:pt idx="0">
                  <c:v>3488</c:v>
                </c:pt>
                <c:pt idx="1">
                  <c:v>3092</c:v>
                </c:pt>
                <c:pt idx="2">
                  <c:v>2444</c:v>
                </c:pt>
                <c:pt idx="3">
                  <c:v>2794</c:v>
                </c:pt>
                <c:pt idx="4">
                  <c:v>2529</c:v>
                </c:pt>
                <c:pt idx="5">
                  <c:v>2895</c:v>
                </c:pt>
                <c:pt idx="6">
                  <c:v>2860</c:v>
                </c:pt>
                <c:pt idx="7">
                  <c:v>2540</c:v>
                </c:pt>
                <c:pt idx="8">
                  <c:v>2640</c:v>
                </c:pt>
                <c:pt idx="9">
                  <c:v>1923</c:v>
                </c:pt>
                <c:pt idx="10">
                  <c:v>2351</c:v>
                </c:pt>
              </c:numCache>
            </c:numRef>
          </c:val>
          <c:smooth val="0"/>
          <c:extLst>
            <c:ext xmlns:c16="http://schemas.microsoft.com/office/drawing/2014/chart" uri="{C3380CC4-5D6E-409C-BE32-E72D297353CC}">
              <c16:uniqueId val="{00000004-B1BF-4563-8857-35E742FD71B3}"/>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300kW'!$K$62</c:f>
          <c:strCache>
            <c:ptCount val="1"/>
            <c:pt idx="0">
              <c:v>Average annual operating profit per vessel (£'000)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23A5-417D-BAEB-70135BA290D6}"/>
              </c:ext>
            </c:extLst>
          </c:dPt>
          <c:dPt>
            <c:idx val="10"/>
            <c:bubble3D val="0"/>
            <c:spPr>
              <a:ln w="57150">
                <a:solidFill>
                  <a:schemeClr val="accent5"/>
                </a:solidFill>
                <a:prstDash val="sysDot"/>
              </a:ln>
            </c:spPr>
            <c:extLst>
              <c:ext xmlns:c16="http://schemas.microsoft.com/office/drawing/2014/chart" uri="{C3380CC4-5D6E-409C-BE32-E72D297353CC}">
                <c16:uniqueId val="{00000003-23A5-417D-BAEB-70135BA290D6}"/>
              </c:ext>
            </c:extLst>
          </c:dPt>
          <c:cat>
            <c:numRef>
              <c:f>'NS nephrops over 300kW'!$D$2:$M$2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nephrops over 300kW'!$D$37:$N$37</c:f>
              <c:numCache>
                <c:formatCode>#,##0.0</c:formatCode>
                <c:ptCount val="11"/>
                <c:pt idx="0">
                  <c:v>79.599999999999994</c:v>
                </c:pt>
                <c:pt idx="1">
                  <c:v>62.8</c:v>
                </c:pt>
                <c:pt idx="2">
                  <c:v>43.3</c:v>
                </c:pt>
                <c:pt idx="3">
                  <c:v>52.9</c:v>
                </c:pt>
                <c:pt idx="4">
                  <c:v>46.3</c:v>
                </c:pt>
                <c:pt idx="5">
                  <c:v>92.2</c:v>
                </c:pt>
                <c:pt idx="6">
                  <c:v>100.7</c:v>
                </c:pt>
                <c:pt idx="7">
                  <c:v>5.4</c:v>
                </c:pt>
                <c:pt idx="8">
                  <c:v>93.5</c:v>
                </c:pt>
                <c:pt idx="9">
                  <c:v>-0.5</c:v>
                </c:pt>
                <c:pt idx="10">
                  <c:v>43</c:v>
                </c:pt>
              </c:numCache>
            </c:numRef>
          </c:val>
          <c:smooth val="0"/>
          <c:extLst>
            <c:ext xmlns:c16="http://schemas.microsoft.com/office/drawing/2014/chart" uri="{C3380CC4-5D6E-409C-BE32-E72D297353CC}">
              <c16:uniqueId val="{00000004-23A5-417D-BAEB-70135BA290D6}"/>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over 300kW'!$A$76</c:f>
          <c:strCache>
            <c:ptCount val="1"/>
            <c:pt idx="0">
              <c:v>Top 5 landed species by volume in 2020
North Sea nephrops over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3DD6-465F-B539-FD9DC53D42B3}"/>
              </c:ext>
            </c:extLst>
          </c:dPt>
          <c:dPt>
            <c:idx val="1"/>
            <c:bubble3D val="0"/>
            <c:spPr>
              <a:solidFill>
                <a:srgbClr val="E87308"/>
              </a:solidFill>
              <a:ln>
                <a:solidFill>
                  <a:srgbClr val="FFFFFF"/>
                </a:solidFill>
              </a:ln>
            </c:spPr>
            <c:extLst>
              <c:ext xmlns:c16="http://schemas.microsoft.com/office/drawing/2014/chart" uri="{C3380CC4-5D6E-409C-BE32-E72D297353CC}">
                <c16:uniqueId val="{00000003-3DD6-465F-B539-FD9DC53D42B3}"/>
              </c:ext>
            </c:extLst>
          </c:dPt>
          <c:dPt>
            <c:idx val="2"/>
            <c:bubble3D val="0"/>
            <c:spPr>
              <a:solidFill>
                <a:srgbClr val="648C2E"/>
              </a:solidFill>
              <a:ln>
                <a:solidFill>
                  <a:srgbClr val="FFFFFF"/>
                </a:solidFill>
              </a:ln>
            </c:spPr>
            <c:extLst>
              <c:ext xmlns:c16="http://schemas.microsoft.com/office/drawing/2014/chart" uri="{C3380CC4-5D6E-409C-BE32-E72D297353CC}">
                <c16:uniqueId val="{00000005-3DD6-465F-B539-FD9DC53D42B3}"/>
              </c:ext>
            </c:extLst>
          </c:dPt>
          <c:dPt>
            <c:idx val="3"/>
            <c:bubble3D val="0"/>
            <c:spPr>
              <a:solidFill>
                <a:srgbClr val="C1D119"/>
              </a:solidFill>
              <a:ln>
                <a:solidFill>
                  <a:srgbClr val="FFFFFF"/>
                </a:solidFill>
              </a:ln>
            </c:spPr>
            <c:extLst>
              <c:ext xmlns:c16="http://schemas.microsoft.com/office/drawing/2014/chart" uri="{C3380CC4-5D6E-409C-BE32-E72D297353CC}">
                <c16:uniqueId val="{00000007-3DD6-465F-B539-FD9DC53D42B3}"/>
              </c:ext>
            </c:extLst>
          </c:dPt>
          <c:dPt>
            <c:idx val="4"/>
            <c:bubble3D val="0"/>
            <c:spPr>
              <a:solidFill>
                <a:srgbClr val="0F9AA9"/>
              </a:solidFill>
              <a:ln>
                <a:solidFill>
                  <a:srgbClr val="FFFFFF"/>
                </a:solidFill>
              </a:ln>
            </c:spPr>
            <c:extLst>
              <c:ext xmlns:c16="http://schemas.microsoft.com/office/drawing/2014/chart" uri="{C3380CC4-5D6E-409C-BE32-E72D297353CC}">
                <c16:uniqueId val="{00000009-3DD6-465F-B539-FD9DC53D42B3}"/>
              </c:ext>
            </c:extLst>
          </c:dPt>
          <c:dPt>
            <c:idx val="5"/>
            <c:bubble3D val="0"/>
            <c:spPr>
              <a:solidFill>
                <a:srgbClr val="55585A"/>
              </a:solidFill>
              <a:ln>
                <a:solidFill>
                  <a:srgbClr val="FFFFFF"/>
                </a:solidFill>
              </a:ln>
            </c:spPr>
            <c:extLst>
              <c:ext xmlns:c16="http://schemas.microsoft.com/office/drawing/2014/chart" uri="{C3380CC4-5D6E-409C-BE32-E72D297353CC}">
                <c16:uniqueId val="{0000000B-3DD6-465F-B539-FD9DC53D42B3}"/>
              </c:ext>
            </c:extLst>
          </c:dPt>
          <c:cat>
            <c:strRef>
              <c:f>'NS nephrops over 300kW'!$B$77:$B$82</c:f>
              <c:strCache>
                <c:ptCount val="6"/>
                <c:pt idx="0">
                  <c:v>Nephrops - 50.8%</c:v>
                </c:pt>
                <c:pt idx="1">
                  <c:v>Anglerfish - 10.3%</c:v>
                </c:pt>
                <c:pt idx="2">
                  <c:v>Haddock - 9.6%</c:v>
                </c:pt>
                <c:pt idx="3">
                  <c:v>Whiting - 8.3%</c:v>
                </c:pt>
                <c:pt idx="4">
                  <c:v>Sprats - 3.3%</c:v>
                </c:pt>
                <c:pt idx="5">
                  <c:v>Others - 17.7%</c:v>
                </c:pt>
              </c:strCache>
            </c:strRef>
          </c:cat>
          <c:val>
            <c:numRef>
              <c:f>'NS nephrops over 300kW'!$C$77:$C$82</c:f>
              <c:numCache>
                <c:formatCode>0.0%</c:formatCode>
                <c:ptCount val="6"/>
                <c:pt idx="0">
                  <c:v>0.50847990158899714</c:v>
                </c:pt>
                <c:pt idx="1">
                  <c:v>0.10322146278693548</c:v>
                </c:pt>
                <c:pt idx="2">
                  <c:v>9.6183404424082297E-2</c:v>
                </c:pt>
                <c:pt idx="3">
                  <c:v>8.291355752453515E-2</c:v>
                </c:pt>
                <c:pt idx="4">
                  <c:v>3.2520973796834905E-2</c:v>
                </c:pt>
                <c:pt idx="5">
                  <c:v>0.17668069987861501</c:v>
                </c:pt>
              </c:numCache>
            </c:numRef>
          </c:val>
          <c:extLst>
            <c:ext xmlns:c16="http://schemas.microsoft.com/office/drawing/2014/chart" uri="{C3380CC4-5D6E-409C-BE32-E72D297353CC}">
              <c16:uniqueId val="{0000000C-3DD6-465F-B539-FD9DC53D42B3}"/>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o250kW'!$A$49</c:f>
          <c:strCache>
            <c:ptCount val="1"/>
            <c:pt idx="0">
              <c:v>Fishing income per kW day at sea (£)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2399-452C-8F29-DD791165580F}"/>
              </c:ext>
            </c:extLst>
          </c:dPt>
          <c:dPt>
            <c:idx val="10"/>
            <c:bubble3D val="0"/>
            <c:spPr>
              <a:ln w="57150">
                <a:solidFill>
                  <a:srgbClr val="648C2E"/>
                </a:solidFill>
                <a:prstDash val="sysDot"/>
              </a:ln>
            </c:spPr>
            <c:extLst>
              <c:ext xmlns:c16="http://schemas.microsoft.com/office/drawing/2014/chart" uri="{C3380CC4-5D6E-409C-BE32-E72D297353CC}">
                <c16:uniqueId val="{00000003-2399-452C-8F29-DD791165580F}"/>
              </c:ext>
            </c:extLst>
          </c:dPt>
          <c:cat>
            <c:numRef>
              <c:f>'Area VIIa nephrops o250kW'!$D$2:$N$2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'Area VIIa nephrops o250kW'!$D$22:$N$22</c:f>
              <c:numCache>
                <c:formatCode>#,##0.00</c:formatCode>
                <c:ptCount val="11"/>
                <c:pt idx="0">
                  <c:v>6.2753106212841798</c:v>
                </c:pt>
                <c:pt idx="1">
                  <c:v>6.4218259281259096</c:v>
                </c:pt>
                <c:pt idx="2">
                  <c:v>4.9158074137507004</c:v>
                </c:pt>
                <c:pt idx="3">
                  <c:v>5.15583464922784</c:v>
                </c:pt>
                <c:pt idx="4">
                  <c:v>5.3253479249692202</c:v>
                </c:pt>
                <c:pt idx="5">
                  <c:v>5.7234451455901896</c:v>
                </c:pt>
                <c:pt idx="6">
                  <c:v>6.0395789271659597</c:v>
                </c:pt>
                <c:pt idx="7">
                  <c:v>5.3365316337779802</c:v>
                </c:pt>
                <c:pt idx="8">
                  <c:v>6.4316389415905304</c:v>
                </c:pt>
                <c:pt idx="9">
                  <c:v>5.0978759853637596</c:v>
                </c:pt>
                <c:pt idx="10">
                  <c:v>5.2308073086446232</c:v>
                </c:pt>
              </c:numCache>
            </c:numRef>
          </c:val>
          <c:smooth val="0"/>
          <c:extLst>
            <c:ext xmlns:c16="http://schemas.microsoft.com/office/drawing/2014/chart" uri="{C3380CC4-5D6E-409C-BE32-E72D297353CC}">
              <c16:uniqueId val="{00000004-2399-452C-8F29-DD791165580F}"/>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over 300kW'!$F$76</c:f>
          <c:strCache>
            <c:ptCount val="1"/>
            <c:pt idx="0">
              <c:v>Top 5 landed species by value in 2020
North Sea nephrops over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646D-4690-B9B5-A4E65991C012}"/>
              </c:ext>
            </c:extLst>
          </c:dPt>
          <c:dPt>
            <c:idx val="1"/>
            <c:bubble3D val="0"/>
            <c:spPr>
              <a:solidFill>
                <a:srgbClr val="E87308"/>
              </a:solidFill>
              <a:ln>
                <a:solidFill>
                  <a:srgbClr val="FFFFFF"/>
                </a:solidFill>
              </a:ln>
            </c:spPr>
            <c:extLst>
              <c:ext xmlns:c16="http://schemas.microsoft.com/office/drawing/2014/chart" uri="{C3380CC4-5D6E-409C-BE32-E72D297353CC}">
                <c16:uniqueId val="{00000003-646D-4690-B9B5-A4E65991C012}"/>
              </c:ext>
            </c:extLst>
          </c:dPt>
          <c:dPt>
            <c:idx val="2"/>
            <c:bubble3D val="0"/>
            <c:spPr>
              <a:solidFill>
                <a:srgbClr val="648C2E"/>
              </a:solidFill>
              <a:ln>
                <a:solidFill>
                  <a:srgbClr val="FFFFFF"/>
                </a:solidFill>
              </a:ln>
            </c:spPr>
            <c:extLst>
              <c:ext xmlns:c16="http://schemas.microsoft.com/office/drawing/2014/chart" uri="{C3380CC4-5D6E-409C-BE32-E72D297353CC}">
                <c16:uniqueId val="{00000005-646D-4690-B9B5-A4E65991C012}"/>
              </c:ext>
            </c:extLst>
          </c:dPt>
          <c:dPt>
            <c:idx val="3"/>
            <c:bubble3D val="0"/>
            <c:spPr>
              <a:solidFill>
                <a:srgbClr val="C1D119"/>
              </a:solidFill>
              <a:ln>
                <a:solidFill>
                  <a:srgbClr val="FFFFFF"/>
                </a:solidFill>
              </a:ln>
            </c:spPr>
            <c:extLst>
              <c:ext xmlns:c16="http://schemas.microsoft.com/office/drawing/2014/chart" uri="{C3380CC4-5D6E-409C-BE32-E72D297353CC}">
                <c16:uniqueId val="{00000007-646D-4690-B9B5-A4E65991C012}"/>
              </c:ext>
            </c:extLst>
          </c:dPt>
          <c:dPt>
            <c:idx val="4"/>
            <c:bubble3D val="0"/>
            <c:spPr>
              <a:solidFill>
                <a:srgbClr val="E84A38"/>
              </a:solidFill>
              <a:ln>
                <a:solidFill>
                  <a:srgbClr val="FFFFFF"/>
                </a:solidFill>
              </a:ln>
            </c:spPr>
            <c:extLst>
              <c:ext xmlns:c16="http://schemas.microsoft.com/office/drawing/2014/chart" uri="{C3380CC4-5D6E-409C-BE32-E72D297353CC}">
                <c16:uniqueId val="{00000009-646D-4690-B9B5-A4E65991C012}"/>
              </c:ext>
            </c:extLst>
          </c:dPt>
          <c:dPt>
            <c:idx val="5"/>
            <c:bubble3D val="0"/>
            <c:spPr>
              <a:solidFill>
                <a:srgbClr val="55585A"/>
              </a:solidFill>
              <a:ln>
                <a:solidFill>
                  <a:srgbClr val="FFFFFF"/>
                </a:solidFill>
              </a:ln>
            </c:spPr>
            <c:extLst>
              <c:ext xmlns:c16="http://schemas.microsoft.com/office/drawing/2014/chart" uri="{C3380CC4-5D6E-409C-BE32-E72D297353CC}">
                <c16:uniqueId val="{0000000B-646D-4690-B9B5-A4E65991C012}"/>
              </c:ext>
            </c:extLst>
          </c:dPt>
          <c:cat>
            <c:strRef>
              <c:f>'NS nephrops over 300kW'!$G$77:$G$82</c:f>
              <c:strCache>
                <c:ptCount val="6"/>
                <c:pt idx="0">
                  <c:v>Nephrops - 61.3%</c:v>
                </c:pt>
                <c:pt idx="1">
                  <c:v>Anglerfish - 13.8%</c:v>
                </c:pt>
                <c:pt idx="2">
                  <c:v>Haddock - 4.9%</c:v>
                </c:pt>
                <c:pt idx="3">
                  <c:v>Whiting - 4.2%</c:v>
                </c:pt>
                <c:pt idx="4">
                  <c:v>Cod - 3.1%</c:v>
                </c:pt>
                <c:pt idx="5">
                  <c:v>Others - 12.8%</c:v>
                </c:pt>
              </c:strCache>
            </c:strRef>
          </c:cat>
          <c:val>
            <c:numRef>
              <c:f>'NS nephrops over 300kW'!$H$77:$H$82</c:f>
              <c:numCache>
                <c:formatCode>0.0%</c:formatCode>
                <c:ptCount val="6"/>
                <c:pt idx="0">
                  <c:v>0.61265616798977918</c:v>
                </c:pt>
                <c:pt idx="1">
                  <c:v>0.13763711210769389</c:v>
                </c:pt>
                <c:pt idx="2">
                  <c:v>4.850520173616172E-2</c:v>
                </c:pt>
                <c:pt idx="3">
                  <c:v>4.1965573606215445E-2</c:v>
                </c:pt>
                <c:pt idx="4">
                  <c:v>3.0787305177075355E-2</c:v>
                </c:pt>
                <c:pt idx="5">
                  <c:v>0.12844863938307438</c:v>
                </c:pt>
              </c:numCache>
            </c:numRef>
          </c:val>
          <c:extLst>
            <c:ext xmlns:c16="http://schemas.microsoft.com/office/drawing/2014/chart" uri="{C3380CC4-5D6E-409C-BE32-E72D297353CC}">
              <c16:uniqueId val="{0000000C-646D-4690-B9B5-A4E65991C01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over 300kW'!$K$77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 nephrops over 300kW'!$C$92</c:f>
              <c:strCache>
                <c:ptCount val="1"/>
                <c:pt idx="0">
                  <c:v>Nephrops</c:v>
                </c:pt>
              </c:strCache>
            </c:strRef>
          </c:tx>
          <c:spPr>
            <a:solidFill>
              <a:srgbClr val="2273B9"/>
            </a:solidFill>
            <a:ln>
              <a:solidFill>
                <a:srgbClr val="FFFFFF"/>
              </a:solidFill>
            </a:ln>
          </c:spPr>
          <c:invertIfNegative val="0"/>
          <c:cat>
            <c:numRef>
              <c:f>'NS nephrops over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nephrops over 300kW'!$D$92:$M$92</c:f>
              <c:numCache>
                <c:formatCode>0%</c:formatCode>
                <c:ptCount val="10"/>
                <c:pt idx="0">
                  <c:v>0.75650561904100289</c:v>
                </c:pt>
                <c:pt idx="1">
                  <c:v>0.66110998795345299</c:v>
                </c:pt>
                <c:pt idx="2">
                  <c:v>0.699040083080818</c:v>
                </c:pt>
                <c:pt idx="3">
                  <c:v>0.65963545836531601</c:v>
                </c:pt>
                <c:pt idx="4">
                  <c:v>0.64570674647899595</c:v>
                </c:pt>
                <c:pt idx="5">
                  <c:v>0.61109432221351034</c:v>
                </c:pt>
                <c:pt idx="6">
                  <c:v>0.56467476951052531</c:v>
                </c:pt>
                <c:pt idx="7">
                  <c:v>0.69917929250746758</c:v>
                </c:pt>
                <c:pt idx="8">
                  <c:v>0.61265616798977918</c:v>
                </c:pt>
                <c:pt idx="9">
                  <c:v>0.65350732794246458</c:v>
                </c:pt>
              </c:numCache>
            </c:numRef>
          </c:val>
          <c:extLst>
            <c:ext xmlns:c16="http://schemas.microsoft.com/office/drawing/2014/chart" uri="{C3380CC4-5D6E-409C-BE32-E72D297353CC}">
              <c16:uniqueId val="{00000000-047B-4986-9CD7-A5E3D16A025D}"/>
            </c:ext>
          </c:extLst>
        </c:ser>
        <c:ser>
          <c:idx val="1"/>
          <c:order val="1"/>
          <c:tx>
            <c:strRef>
              <c:f>'NS nephrops over 300kW'!$C$93</c:f>
              <c:strCache>
                <c:ptCount val="1"/>
                <c:pt idx="0">
                  <c:v>Anglerfish</c:v>
                </c:pt>
              </c:strCache>
            </c:strRef>
          </c:tx>
          <c:spPr>
            <a:solidFill>
              <a:srgbClr val="E87308"/>
            </a:solidFill>
            <a:ln>
              <a:solidFill>
                <a:srgbClr val="FFFFFF"/>
              </a:solidFill>
            </a:ln>
          </c:spPr>
          <c:invertIfNegative val="0"/>
          <c:cat>
            <c:numRef>
              <c:f>'NS nephrops over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nephrops over 300kW'!$D$93:$M$93</c:f>
              <c:numCache>
                <c:formatCode>0%</c:formatCode>
                <c:ptCount val="10"/>
                <c:pt idx="0">
                  <c:v>6.4484585322710133E-2</c:v>
                </c:pt>
                <c:pt idx="1">
                  <c:v>9.904566943708186E-2</c:v>
                </c:pt>
                <c:pt idx="2">
                  <c:v>8.6099776886047627E-2</c:v>
                </c:pt>
                <c:pt idx="3">
                  <c:v>0.12486852779745958</c:v>
                </c:pt>
                <c:pt idx="4">
                  <c:v>0.14433265563418274</c:v>
                </c:pt>
                <c:pt idx="5">
                  <c:v>0.142959733627915</c:v>
                </c:pt>
                <c:pt idx="6">
                  <c:v>0.15272778925733752</c:v>
                </c:pt>
                <c:pt idx="7">
                  <c:v>9.6892934369682007E-2</c:v>
                </c:pt>
                <c:pt idx="8">
                  <c:v>0.13763711210769389</c:v>
                </c:pt>
                <c:pt idx="9">
                  <c:v>0.15646477566763958</c:v>
                </c:pt>
              </c:numCache>
            </c:numRef>
          </c:val>
          <c:extLst>
            <c:ext xmlns:c16="http://schemas.microsoft.com/office/drawing/2014/chart" uri="{C3380CC4-5D6E-409C-BE32-E72D297353CC}">
              <c16:uniqueId val="{00000001-047B-4986-9CD7-A5E3D16A025D}"/>
            </c:ext>
          </c:extLst>
        </c:ser>
        <c:ser>
          <c:idx val="2"/>
          <c:order val="2"/>
          <c:tx>
            <c:strRef>
              <c:f>'NS nephrops over 300kW'!$C$94</c:f>
              <c:strCache>
                <c:ptCount val="1"/>
                <c:pt idx="0">
                  <c:v>Haddock</c:v>
                </c:pt>
              </c:strCache>
            </c:strRef>
          </c:tx>
          <c:spPr>
            <a:solidFill>
              <a:srgbClr val="648C2E"/>
            </a:solidFill>
            <a:ln>
              <a:solidFill>
                <a:srgbClr val="FFFFFF"/>
              </a:solidFill>
            </a:ln>
          </c:spPr>
          <c:invertIfNegative val="0"/>
          <c:cat>
            <c:numRef>
              <c:f>'NS nephrops over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nephrops over 300kW'!$D$94:$M$94</c:f>
              <c:numCache>
                <c:formatCode>0%</c:formatCode>
                <c:ptCount val="10"/>
                <c:pt idx="0">
                  <c:v>5.228650044143425E-2</c:v>
                </c:pt>
                <c:pt idx="1">
                  <c:v>7.4661822072936104E-2</c:v>
                </c:pt>
                <c:pt idx="2">
                  <c:v>7.7717117100067803E-2</c:v>
                </c:pt>
                <c:pt idx="3">
                  <c:v>6.116708873072333E-2</c:v>
                </c:pt>
                <c:pt idx="4">
                  <c:v>4.4973109093561982E-2</c:v>
                </c:pt>
                <c:pt idx="5">
                  <c:v>4.1548520531305123E-2</c:v>
                </c:pt>
                <c:pt idx="6">
                  <c:v>5.1729041694231086E-2</c:v>
                </c:pt>
                <c:pt idx="7">
                  <c:v>4.4105779920083729E-2</c:v>
                </c:pt>
                <c:pt idx="8">
                  <c:v>4.850520173616172E-2</c:v>
                </c:pt>
                <c:pt idx="9">
                  <c:v>3.4007825318268625E-2</c:v>
                </c:pt>
              </c:numCache>
            </c:numRef>
          </c:val>
          <c:extLst>
            <c:ext xmlns:c16="http://schemas.microsoft.com/office/drawing/2014/chart" uri="{C3380CC4-5D6E-409C-BE32-E72D297353CC}">
              <c16:uniqueId val="{00000002-047B-4986-9CD7-A5E3D16A025D}"/>
            </c:ext>
          </c:extLst>
        </c:ser>
        <c:ser>
          <c:idx val="3"/>
          <c:order val="3"/>
          <c:tx>
            <c:strRef>
              <c:f>'NS nephrops over 300kW'!$C$95</c:f>
              <c:strCache>
                <c:ptCount val="1"/>
                <c:pt idx="0">
                  <c:v>Whiting</c:v>
                </c:pt>
              </c:strCache>
            </c:strRef>
          </c:tx>
          <c:spPr>
            <a:solidFill>
              <a:srgbClr val="C1D119"/>
            </a:solidFill>
            <a:ln>
              <a:solidFill>
                <a:srgbClr val="FFFFFF"/>
              </a:solidFill>
            </a:ln>
          </c:spPr>
          <c:invertIfNegative val="0"/>
          <c:cat>
            <c:numRef>
              <c:f>'NS nephrops over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nephrops over 300kW'!$D$95:$M$95</c:f>
              <c:numCache>
                <c:formatCode>0%</c:formatCode>
                <c:ptCount val="10"/>
                <c:pt idx="0">
                  <c:v>3.6972651450617927E-2</c:v>
                </c:pt>
                <c:pt idx="1">
                  <c:v>4.8746238178689963E-2</c:v>
                </c:pt>
                <c:pt idx="2">
                  <c:v>4.0361269765523788E-2</c:v>
                </c:pt>
                <c:pt idx="3">
                  <c:v>3.5882168270989986E-2</c:v>
                </c:pt>
                <c:pt idx="4">
                  <c:v>3.1219764817989035E-2</c:v>
                </c:pt>
                <c:pt idx="5">
                  <c:v>3.2310001968110263E-2</c:v>
                </c:pt>
                <c:pt idx="6">
                  <c:v>3.4613688094612446E-2</c:v>
                </c:pt>
                <c:pt idx="7">
                  <c:v>3.3174138715943859E-2</c:v>
                </c:pt>
                <c:pt idx="8">
                  <c:v>4.1965573606215445E-2</c:v>
                </c:pt>
                <c:pt idx="9">
                  <c:v>4.096688399858401E-2</c:v>
                </c:pt>
              </c:numCache>
            </c:numRef>
          </c:val>
          <c:extLst>
            <c:ext xmlns:c16="http://schemas.microsoft.com/office/drawing/2014/chart" uri="{C3380CC4-5D6E-409C-BE32-E72D297353CC}">
              <c16:uniqueId val="{00000003-047B-4986-9CD7-A5E3D16A025D}"/>
            </c:ext>
          </c:extLst>
        </c:ser>
        <c:ser>
          <c:idx val="4"/>
          <c:order val="4"/>
          <c:tx>
            <c:strRef>
              <c:f>'NS nephrops over 300kW'!$C$96</c:f>
              <c:strCache>
                <c:ptCount val="1"/>
                <c:pt idx="0">
                  <c:v>Cod</c:v>
                </c:pt>
              </c:strCache>
            </c:strRef>
          </c:tx>
          <c:spPr>
            <a:solidFill>
              <a:srgbClr val="E84A38"/>
            </a:solidFill>
            <a:ln>
              <a:solidFill>
                <a:srgbClr val="FFFFFF"/>
              </a:solidFill>
            </a:ln>
          </c:spPr>
          <c:invertIfNegative val="0"/>
          <c:cat>
            <c:numRef>
              <c:f>'NS nephrops over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nephrops over 300kW'!$D$96:$M$96</c:f>
              <c:numCache>
                <c:formatCode>0%</c:formatCode>
                <c:ptCount val="10"/>
                <c:pt idx="0">
                  <c:v>1.7978609941859274E-2</c:v>
                </c:pt>
                <c:pt idx="1">
                  <c:v>2.7754665630213147E-2</c:v>
                </c:pt>
                <c:pt idx="2">
                  <c:v>2.2945797073296113E-2</c:v>
                </c:pt>
                <c:pt idx="4">
                  <c:v>3.1235589639025577E-2</c:v>
                </c:pt>
                <c:pt idx="5">
                  <c:v>4.8031906268219571E-2</c:v>
                </c:pt>
                <c:pt idx="6">
                  <c:v>4.0170552327692316E-2</c:v>
                </c:pt>
                <c:pt idx="7">
                  <c:v>3.5161169063842888E-2</c:v>
                </c:pt>
                <c:pt idx="8">
                  <c:v>3.0787305177075355E-2</c:v>
                </c:pt>
                <c:pt idx="9">
                  <c:v>2.1880744339504904E-2</c:v>
                </c:pt>
              </c:numCache>
            </c:numRef>
          </c:val>
          <c:extLst>
            <c:ext xmlns:c16="http://schemas.microsoft.com/office/drawing/2014/chart" uri="{C3380CC4-5D6E-409C-BE32-E72D297353CC}">
              <c16:uniqueId val="{00000004-047B-4986-9CD7-A5E3D16A025D}"/>
            </c:ext>
          </c:extLst>
        </c:ser>
        <c:ser>
          <c:idx val="5"/>
          <c:order val="5"/>
          <c:tx>
            <c:strRef>
              <c:f>'NS nephrops over 300kW'!$C$97</c:f>
              <c:strCache>
                <c:ptCount val="1"/>
                <c:pt idx="0">
                  <c:v>Squid</c:v>
                </c:pt>
              </c:strCache>
            </c:strRef>
          </c:tx>
          <c:spPr>
            <a:solidFill>
              <a:srgbClr val="0F9AA9"/>
            </a:solidFill>
            <a:ln>
              <a:solidFill>
                <a:srgbClr val="FFFFFF"/>
              </a:solidFill>
            </a:ln>
          </c:spPr>
          <c:invertIfNegative val="0"/>
          <c:cat>
            <c:numRef>
              <c:f>'NS nephrops over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nephrops over 300kW'!$D$97:$M$97</c:f>
              <c:numCache>
                <c:formatCode>0%</c:formatCode>
                <c:ptCount val="10"/>
                <c:pt idx="3">
                  <c:v>2.8653189592609936E-2</c:v>
                </c:pt>
              </c:numCache>
            </c:numRef>
          </c:val>
          <c:extLst>
            <c:ext xmlns:c16="http://schemas.microsoft.com/office/drawing/2014/chart" uri="{C3380CC4-5D6E-409C-BE32-E72D297353CC}">
              <c16:uniqueId val="{00000005-047B-4986-9CD7-A5E3D16A025D}"/>
            </c:ext>
          </c:extLst>
        </c:ser>
        <c:ser>
          <c:idx val="6"/>
          <c:order val="6"/>
          <c:tx>
            <c:strRef>
              <c:f>'NS nephrops over 300kW'!$C$98</c:f>
              <c:strCache>
                <c:ptCount val="1"/>
                <c:pt idx="0">
                  <c:v>Others</c:v>
                </c:pt>
              </c:strCache>
            </c:strRef>
          </c:tx>
          <c:spPr>
            <a:solidFill>
              <a:srgbClr val="55585A"/>
            </a:solidFill>
            <a:ln>
              <a:solidFill>
                <a:srgbClr val="FFFFFF"/>
              </a:solidFill>
            </a:ln>
          </c:spPr>
          <c:invertIfNegative val="0"/>
          <c:cat>
            <c:numRef>
              <c:f>'NS nephrops over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nephrops over 300kW'!$D$98:$M$98</c:f>
              <c:numCache>
                <c:formatCode>0%</c:formatCode>
                <c:ptCount val="10"/>
                <c:pt idx="0">
                  <c:v>7.1772033802375498E-2</c:v>
                </c:pt>
                <c:pt idx="1">
                  <c:v>8.8681616727625978E-2</c:v>
                </c:pt>
                <c:pt idx="2">
                  <c:v>7.383595609424666E-2</c:v>
                </c:pt>
                <c:pt idx="3">
                  <c:v>8.9793567242901107E-2</c:v>
                </c:pt>
                <c:pt idx="4">
                  <c:v>0.10253213433624467</c:v>
                </c:pt>
                <c:pt idx="5">
                  <c:v>0.1240555153909397</c:v>
                </c:pt>
                <c:pt idx="6">
                  <c:v>0.15608415911560133</c:v>
                </c:pt>
                <c:pt idx="7">
                  <c:v>9.1486685422979955E-2</c:v>
                </c:pt>
                <c:pt idx="8">
                  <c:v>0.12844863938307444</c:v>
                </c:pt>
                <c:pt idx="9">
                  <c:v>9.3172442733538349E-2</c:v>
                </c:pt>
              </c:numCache>
            </c:numRef>
          </c:val>
          <c:extLst>
            <c:ext xmlns:c16="http://schemas.microsoft.com/office/drawing/2014/chart" uri="{C3380CC4-5D6E-409C-BE32-E72D297353CC}">
              <c16:uniqueId val="{00000006-047B-4986-9CD7-A5E3D16A025D}"/>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 nephrops over 300kW'!$B$162</c:f>
              <c:strCache>
                <c:ptCount val="1"/>
                <c:pt idx="0">
                  <c:v>Nephrops</c:v>
                </c:pt>
              </c:strCache>
            </c:strRef>
          </c:tx>
          <c:spPr>
            <a:solidFill>
              <a:srgbClr val="2273B9"/>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300kW'!$C$162:$E$162</c:f>
              <c:numCache>
                <c:formatCode>0%</c:formatCode>
                <c:ptCount val="3"/>
                <c:pt idx="0">
                  <c:v>0.23399352420504338</c:v>
                </c:pt>
                <c:pt idx="1">
                  <c:v>0.5195480485685896</c:v>
                </c:pt>
                <c:pt idx="2">
                  <c:v>0.40915023734116318</c:v>
                </c:pt>
              </c:numCache>
            </c:numRef>
          </c:val>
          <c:extLst>
            <c:ext xmlns:c16="http://schemas.microsoft.com/office/drawing/2014/chart" uri="{C3380CC4-5D6E-409C-BE32-E72D297353CC}">
              <c16:uniqueId val="{00000000-8CEC-432A-8F23-743D7099D9E2}"/>
            </c:ext>
          </c:extLst>
        </c:ser>
        <c:ser>
          <c:idx val="1"/>
          <c:order val="1"/>
          <c:tx>
            <c:strRef>
              <c:f>'NS nephrops over 300kW'!$B$163</c:f>
              <c:strCache>
                <c:ptCount val="1"/>
                <c:pt idx="0">
                  <c:v>Anglerfish</c:v>
                </c:pt>
              </c:strCache>
            </c:strRef>
          </c:tx>
          <c:spPr>
            <a:solidFill>
              <a:srgbClr val="E87308"/>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300kW'!$C$163:$E$163</c:f>
              <c:numCache>
                <c:formatCode>0%</c:formatCode>
                <c:ptCount val="3"/>
                <c:pt idx="0">
                  <c:v>4.7012515324288337E-2</c:v>
                </c:pt>
                <c:pt idx="1">
                  <c:v>0.12198931535118239</c:v>
                </c:pt>
                <c:pt idx="2">
                  <c:v>4.0698851115943735E-2</c:v>
                </c:pt>
              </c:numCache>
            </c:numRef>
          </c:val>
          <c:extLst>
            <c:ext xmlns:c16="http://schemas.microsoft.com/office/drawing/2014/chart" uri="{C3380CC4-5D6E-409C-BE32-E72D297353CC}">
              <c16:uniqueId val="{00000001-8CEC-432A-8F23-743D7099D9E2}"/>
            </c:ext>
          </c:extLst>
        </c:ser>
        <c:ser>
          <c:idx val="2"/>
          <c:order val="2"/>
          <c:tx>
            <c:strRef>
              <c:f>'NS nephrops over 300kW'!$B$164</c:f>
              <c:strCache>
                <c:ptCount val="1"/>
                <c:pt idx="0">
                  <c:v>Haddock</c:v>
                </c:pt>
              </c:strCache>
            </c:strRef>
          </c:tx>
          <c:spPr>
            <a:solidFill>
              <a:srgbClr val="648C2E"/>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300kW'!$C$164:$E$164</c:f>
              <c:numCache>
                <c:formatCode>0%</c:formatCode>
                <c:ptCount val="3"/>
                <c:pt idx="0">
                  <c:v>3.8352862635718937E-2</c:v>
                </c:pt>
                <c:pt idx="1">
                  <c:v>0.11217623356589475</c:v>
                </c:pt>
                <c:pt idx="2">
                  <c:v>5.5836819102720293E-2</c:v>
                </c:pt>
              </c:numCache>
            </c:numRef>
          </c:val>
          <c:extLst>
            <c:ext xmlns:c16="http://schemas.microsoft.com/office/drawing/2014/chart" uri="{C3380CC4-5D6E-409C-BE32-E72D297353CC}">
              <c16:uniqueId val="{00000002-8CEC-432A-8F23-743D7099D9E2}"/>
            </c:ext>
          </c:extLst>
        </c:ser>
        <c:ser>
          <c:idx val="3"/>
          <c:order val="3"/>
          <c:tx>
            <c:strRef>
              <c:f>'NS nephrops over 300kW'!$B$165</c:f>
              <c:strCache>
                <c:ptCount val="1"/>
                <c:pt idx="0">
                  <c:v>Whiting</c:v>
                </c:pt>
              </c:strCache>
            </c:strRef>
          </c:tx>
          <c:spPr>
            <a:solidFill>
              <a:srgbClr val="C1D119"/>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300kW'!$C$165:$E$165</c:f>
              <c:numCache>
                <c:formatCode>0%</c:formatCode>
                <c:ptCount val="3"/>
                <c:pt idx="0">
                  <c:v>3.062442167308967E-2</c:v>
                </c:pt>
                <c:pt idx="1">
                  <c:v>0.10452399351621006</c:v>
                </c:pt>
                <c:pt idx="2">
                  <c:v>3.3721583105830143E-2</c:v>
                </c:pt>
              </c:numCache>
            </c:numRef>
          </c:val>
          <c:extLst>
            <c:ext xmlns:c16="http://schemas.microsoft.com/office/drawing/2014/chart" uri="{C3380CC4-5D6E-409C-BE32-E72D297353CC}">
              <c16:uniqueId val="{00000003-8CEC-432A-8F23-743D7099D9E2}"/>
            </c:ext>
          </c:extLst>
        </c:ser>
        <c:ser>
          <c:idx val="4"/>
          <c:order val="4"/>
          <c:tx>
            <c:strRef>
              <c:f>'NS nephrops over 300kW'!$B$166</c:f>
              <c:strCache>
                <c:ptCount val="1"/>
                <c:pt idx="0">
                  <c:v>Cod</c:v>
                </c:pt>
              </c:strCache>
            </c:strRef>
          </c:tx>
          <c:spPr>
            <a:solidFill>
              <a:srgbClr val="E84A38"/>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300kW'!$C$166:$E$166</c:f>
              <c:numCache>
                <c:formatCode>0%</c:formatCode>
                <c:ptCount val="3"/>
                <c:pt idx="0">
                  <c:v>0</c:v>
                </c:pt>
                <c:pt idx="1">
                  <c:v>3.1403343833314279E-2</c:v>
                </c:pt>
                <c:pt idx="2">
                  <c:v>0</c:v>
                </c:pt>
              </c:numCache>
            </c:numRef>
          </c:val>
          <c:extLst>
            <c:ext xmlns:c16="http://schemas.microsoft.com/office/drawing/2014/chart" uri="{C3380CC4-5D6E-409C-BE32-E72D297353CC}">
              <c16:uniqueId val="{00000004-8CEC-432A-8F23-743D7099D9E2}"/>
            </c:ext>
          </c:extLst>
        </c:ser>
        <c:ser>
          <c:idx val="5"/>
          <c:order val="5"/>
          <c:tx>
            <c:strRef>
              <c:f>'NS nephrops over 300kW'!$B$167</c:f>
              <c:strCache>
                <c:ptCount val="1"/>
                <c:pt idx="0">
                  <c:v>Plaice</c:v>
                </c:pt>
              </c:strCache>
            </c:strRef>
          </c:tx>
          <c:spPr>
            <a:solidFill>
              <a:srgbClr val="FED825"/>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300kW'!$C$167:$E$167</c:f>
              <c:numCache>
                <c:formatCode>0%</c:formatCode>
                <c:ptCount val="3"/>
                <c:pt idx="0">
                  <c:v>0</c:v>
                </c:pt>
                <c:pt idx="1">
                  <c:v>0</c:v>
                </c:pt>
                <c:pt idx="2">
                  <c:v>1.3526961333751635E-2</c:v>
                </c:pt>
              </c:numCache>
            </c:numRef>
          </c:val>
          <c:extLst>
            <c:ext xmlns:c16="http://schemas.microsoft.com/office/drawing/2014/chart" uri="{C3380CC4-5D6E-409C-BE32-E72D297353CC}">
              <c16:uniqueId val="{00000005-8CEC-432A-8F23-743D7099D9E2}"/>
            </c:ext>
          </c:extLst>
        </c:ser>
        <c:ser>
          <c:idx val="6"/>
          <c:order val="6"/>
          <c:tx>
            <c:strRef>
              <c:f>'NS nephrops over 300kW'!$B$168</c:f>
              <c:strCache>
                <c:ptCount val="1"/>
                <c:pt idx="0">
                  <c:v>Sprats</c:v>
                </c:pt>
              </c:strCache>
            </c:strRef>
          </c:tx>
          <c:spPr>
            <a:solidFill>
              <a:srgbClr val="0F9AA9"/>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300kW'!$C$168:$E$168</c:f>
              <c:numCache>
                <c:formatCode>0%</c:formatCode>
                <c:ptCount val="3"/>
                <c:pt idx="0">
                  <c:v>5.9439165874789569E-2</c:v>
                </c:pt>
                <c:pt idx="1">
                  <c:v>0</c:v>
                </c:pt>
                <c:pt idx="2">
                  <c:v>0</c:v>
                </c:pt>
              </c:numCache>
            </c:numRef>
          </c:val>
          <c:extLst>
            <c:ext xmlns:c16="http://schemas.microsoft.com/office/drawing/2014/chart" uri="{C3380CC4-5D6E-409C-BE32-E72D297353CC}">
              <c16:uniqueId val="{00000006-8CEC-432A-8F23-743D7099D9E2}"/>
            </c:ext>
          </c:extLst>
        </c:ser>
        <c:ser>
          <c:idx val="7"/>
          <c:order val="7"/>
          <c:tx>
            <c:strRef>
              <c:f>'NS nephrops over 300kW'!$B$169</c:f>
              <c:strCache>
                <c:ptCount val="1"/>
                <c:pt idx="0">
                  <c:v>Others</c:v>
                </c:pt>
              </c:strCache>
            </c:strRef>
          </c:tx>
          <c:spPr>
            <a:solidFill>
              <a:srgbClr val="55585A"/>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300kW'!$C$169:$E$169</c:f>
              <c:numCache>
                <c:formatCode>0%</c:formatCode>
                <c:ptCount val="3"/>
                <c:pt idx="0">
                  <c:v>0.59057751028707006</c:v>
                </c:pt>
                <c:pt idx="1">
                  <c:v>0.11035906516480876</c:v>
                </c:pt>
                <c:pt idx="2">
                  <c:v>0.44706554800059095</c:v>
                </c:pt>
              </c:numCache>
            </c:numRef>
          </c:val>
          <c:extLst>
            <c:ext xmlns:c16="http://schemas.microsoft.com/office/drawing/2014/chart" uri="{C3380CC4-5D6E-409C-BE32-E72D297353CC}">
              <c16:uniqueId val="{00000007-8CEC-432A-8F23-743D7099D9E2}"/>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 nephrops over 300kW'!$H$162</c:f>
              <c:strCache>
                <c:ptCount val="1"/>
                <c:pt idx="0">
                  <c:v>Nephrops</c:v>
                </c:pt>
              </c:strCache>
            </c:strRef>
          </c:tx>
          <c:spPr>
            <a:solidFill>
              <a:srgbClr val="2273B9"/>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300kW'!$I$162:$K$162</c:f>
              <c:numCache>
                <c:formatCode>0%</c:formatCode>
                <c:ptCount val="3"/>
                <c:pt idx="0">
                  <c:v>0.21665929403956946</c:v>
                </c:pt>
                <c:pt idx="1">
                  <c:v>0.60553237753606504</c:v>
                </c:pt>
                <c:pt idx="2">
                  <c:v>0.36383260115698529</c:v>
                </c:pt>
              </c:numCache>
            </c:numRef>
          </c:val>
          <c:extLst>
            <c:ext xmlns:c16="http://schemas.microsoft.com/office/drawing/2014/chart" uri="{C3380CC4-5D6E-409C-BE32-E72D297353CC}">
              <c16:uniqueId val="{00000000-25D5-4EA7-872C-1F9D978BA68F}"/>
            </c:ext>
          </c:extLst>
        </c:ser>
        <c:ser>
          <c:idx val="1"/>
          <c:order val="1"/>
          <c:tx>
            <c:strRef>
              <c:f>'NS nephrops over 300kW'!$H$163</c:f>
              <c:strCache>
                <c:ptCount val="1"/>
                <c:pt idx="0">
                  <c:v>Anglerfish</c:v>
                </c:pt>
              </c:strCache>
            </c:strRef>
          </c:tx>
          <c:spPr>
            <a:solidFill>
              <a:srgbClr val="E87308"/>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300kW'!$I$163:$K$163</c:f>
              <c:numCache>
                <c:formatCode>0%</c:formatCode>
                <c:ptCount val="3"/>
                <c:pt idx="0">
                  <c:v>4.9143813676604822E-2</c:v>
                </c:pt>
                <c:pt idx="1">
                  <c:v>0.15860833267052821</c:v>
                </c:pt>
                <c:pt idx="2">
                  <c:v>3.7241348465528054E-2</c:v>
                </c:pt>
              </c:numCache>
            </c:numRef>
          </c:val>
          <c:extLst>
            <c:ext xmlns:c16="http://schemas.microsoft.com/office/drawing/2014/chart" uri="{C3380CC4-5D6E-409C-BE32-E72D297353CC}">
              <c16:uniqueId val="{00000001-25D5-4EA7-872C-1F9D978BA68F}"/>
            </c:ext>
          </c:extLst>
        </c:ser>
        <c:ser>
          <c:idx val="2"/>
          <c:order val="2"/>
          <c:tx>
            <c:strRef>
              <c:f>'NS nephrops over 300kW'!$H$164</c:f>
              <c:strCache>
                <c:ptCount val="1"/>
                <c:pt idx="0">
                  <c:v>Haddock</c:v>
                </c:pt>
              </c:strCache>
            </c:strRef>
          </c:tx>
          <c:spPr>
            <a:solidFill>
              <a:srgbClr val="648C2E"/>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300kW'!$I$164:$K$164</c:f>
              <c:numCache>
                <c:formatCode>0%</c:formatCode>
                <c:ptCount val="3"/>
                <c:pt idx="0">
                  <c:v>1.5298518548126638E-2</c:v>
                </c:pt>
                <c:pt idx="1">
                  <c:v>5.5400209190193152E-2</c:v>
                </c:pt>
                <c:pt idx="2">
                  <c:v>1.872235327481676E-2</c:v>
                </c:pt>
              </c:numCache>
            </c:numRef>
          </c:val>
          <c:extLst>
            <c:ext xmlns:c16="http://schemas.microsoft.com/office/drawing/2014/chart" uri="{C3380CC4-5D6E-409C-BE32-E72D297353CC}">
              <c16:uniqueId val="{00000002-25D5-4EA7-872C-1F9D978BA68F}"/>
            </c:ext>
          </c:extLst>
        </c:ser>
        <c:ser>
          <c:idx val="3"/>
          <c:order val="3"/>
          <c:tx>
            <c:strRef>
              <c:f>'NS nephrops over 300kW'!$H$165</c:f>
              <c:strCache>
                <c:ptCount val="1"/>
                <c:pt idx="0">
                  <c:v>Whiting</c:v>
                </c:pt>
              </c:strCache>
            </c:strRef>
          </c:tx>
          <c:spPr>
            <a:solidFill>
              <a:srgbClr val="C1D119"/>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300kW'!$I$165:$K$165</c:f>
              <c:numCache>
                <c:formatCode>0%</c:formatCode>
                <c:ptCount val="3"/>
                <c:pt idx="0">
                  <c:v>1.2703752288714539E-2</c:v>
                </c:pt>
                <c:pt idx="1">
                  <c:v>5.1403275757199454E-2</c:v>
                </c:pt>
                <c:pt idx="2">
                  <c:v>1.0742728131374946E-2</c:v>
                </c:pt>
              </c:numCache>
            </c:numRef>
          </c:val>
          <c:extLst>
            <c:ext xmlns:c16="http://schemas.microsoft.com/office/drawing/2014/chart" uri="{C3380CC4-5D6E-409C-BE32-E72D297353CC}">
              <c16:uniqueId val="{00000003-25D5-4EA7-872C-1F9D978BA68F}"/>
            </c:ext>
          </c:extLst>
        </c:ser>
        <c:ser>
          <c:idx val="4"/>
          <c:order val="4"/>
          <c:tx>
            <c:strRef>
              <c:f>'NS nephrops over 300kW'!$H$166</c:f>
              <c:strCache>
                <c:ptCount val="1"/>
                <c:pt idx="0">
                  <c:v>Cod</c:v>
                </c:pt>
              </c:strCache>
            </c:strRef>
          </c:tx>
          <c:spPr>
            <a:solidFill>
              <a:srgbClr val="E84A38"/>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300kW'!$I$166:$K$166</c:f>
              <c:numCache>
                <c:formatCode>0%</c:formatCode>
                <c:ptCount val="3"/>
                <c:pt idx="0">
                  <c:v>0</c:v>
                </c:pt>
                <c:pt idx="1">
                  <c:v>4.1239182554964234E-2</c:v>
                </c:pt>
                <c:pt idx="2">
                  <c:v>0</c:v>
                </c:pt>
              </c:numCache>
            </c:numRef>
          </c:val>
          <c:extLst>
            <c:ext xmlns:c16="http://schemas.microsoft.com/office/drawing/2014/chart" uri="{C3380CC4-5D6E-409C-BE32-E72D297353CC}">
              <c16:uniqueId val="{00000004-25D5-4EA7-872C-1F9D978BA68F}"/>
            </c:ext>
          </c:extLst>
        </c:ser>
        <c:ser>
          <c:idx val="5"/>
          <c:order val="5"/>
          <c:tx>
            <c:strRef>
              <c:f>'NS nephrops over 300kW'!$H$167</c:f>
              <c:strCache>
                <c:ptCount val="1"/>
                <c:pt idx="0">
                  <c:v>Squid</c:v>
                </c:pt>
              </c:strCache>
            </c:strRef>
          </c:tx>
          <c:spPr>
            <a:solidFill>
              <a:srgbClr val="707271"/>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300kW'!$I$167:$K$167</c:f>
              <c:numCache>
                <c:formatCode>0%</c:formatCode>
                <c:ptCount val="3"/>
                <c:pt idx="0">
                  <c:v>0</c:v>
                </c:pt>
                <c:pt idx="1">
                  <c:v>0</c:v>
                </c:pt>
                <c:pt idx="2">
                  <c:v>1.3352484684212962E-2</c:v>
                </c:pt>
              </c:numCache>
            </c:numRef>
          </c:val>
          <c:extLst>
            <c:ext xmlns:c16="http://schemas.microsoft.com/office/drawing/2014/chart" uri="{C3380CC4-5D6E-409C-BE32-E72D297353CC}">
              <c16:uniqueId val="{00000005-25D5-4EA7-872C-1F9D978BA68F}"/>
            </c:ext>
          </c:extLst>
        </c:ser>
        <c:ser>
          <c:idx val="6"/>
          <c:order val="6"/>
          <c:tx>
            <c:strRef>
              <c:f>'NS nephrops over 300kW'!$H$168</c:f>
              <c:strCache>
                <c:ptCount val="1"/>
                <c:pt idx="0">
                  <c:v>Plaice</c:v>
                </c:pt>
              </c:strCache>
            </c:strRef>
          </c:tx>
          <c:spPr>
            <a:solidFill>
              <a:srgbClr val="FED825"/>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300kW'!$I$168:$K$168</c:f>
              <c:numCache>
                <c:formatCode>0%</c:formatCode>
                <c:ptCount val="3"/>
                <c:pt idx="0">
                  <c:v>1.2968785886170084E-2</c:v>
                </c:pt>
                <c:pt idx="1">
                  <c:v>0</c:v>
                </c:pt>
                <c:pt idx="2">
                  <c:v>0</c:v>
                </c:pt>
              </c:numCache>
            </c:numRef>
          </c:val>
          <c:extLst>
            <c:ext xmlns:c16="http://schemas.microsoft.com/office/drawing/2014/chart" uri="{C3380CC4-5D6E-409C-BE32-E72D297353CC}">
              <c16:uniqueId val="{00000006-25D5-4EA7-872C-1F9D978BA68F}"/>
            </c:ext>
          </c:extLst>
        </c:ser>
        <c:ser>
          <c:idx val="7"/>
          <c:order val="7"/>
          <c:tx>
            <c:strRef>
              <c:f>'NS nephrops over 300kW'!$H$169</c:f>
              <c:strCache>
                <c:ptCount val="1"/>
                <c:pt idx="0">
                  <c:v>Others</c:v>
                </c:pt>
              </c:strCache>
            </c:strRef>
          </c:tx>
          <c:spPr>
            <a:solidFill>
              <a:srgbClr val="55585A"/>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300kW'!$I$169:$K$169</c:f>
              <c:numCache>
                <c:formatCode>0%</c:formatCode>
                <c:ptCount val="3"/>
                <c:pt idx="0">
                  <c:v>0.69322583556081452</c:v>
                </c:pt>
                <c:pt idx="1">
                  <c:v>8.7816622291049806E-2</c:v>
                </c:pt>
                <c:pt idx="2">
                  <c:v>0.55610848428708204</c:v>
                </c:pt>
              </c:numCache>
            </c:numRef>
          </c:val>
          <c:extLst>
            <c:ext xmlns:c16="http://schemas.microsoft.com/office/drawing/2014/chart" uri="{C3380CC4-5D6E-409C-BE32-E72D297353CC}">
              <c16:uniqueId val="{00000007-25D5-4EA7-872C-1F9D978BA68F}"/>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 nephrops over 300kW'!$K$139</c:f>
              <c:strCache>
                <c:ptCount val="1"/>
                <c:pt idx="0">
                  <c:v>Total income</c:v>
                </c:pt>
              </c:strCache>
            </c:strRef>
          </c:tx>
          <c:spPr>
            <a:solidFill>
              <a:srgbClr val="087CBB"/>
            </a:solidFill>
            <a:ln>
              <a:solidFill>
                <a:schemeClr val="accent1"/>
              </a:solidFill>
            </a:ln>
          </c:spPr>
          <c:invertIfNegative val="0"/>
          <c:cat>
            <c:strRef>
              <c:f>'NS nephrops over 300kW'!$L$138:$N$138</c:f>
              <c:strCache>
                <c:ptCount val="3"/>
                <c:pt idx="0">
                  <c:v>Most
profitable
quartile</c:v>
                </c:pt>
                <c:pt idx="1">
                  <c:v>Middle
two quartiles</c:v>
                </c:pt>
                <c:pt idx="2">
                  <c:v>Least
profitable
quartile</c:v>
                </c:pt>
              </c:strCache>
            </c:strRef>
          </c:cat>
          <c:val>
            <c:numRef>
              <c:f>'NS nephrops over 300kW'!$L$139:$N$139</c:f>
              <c:numCache>
                <c:formatCode>#,##0</c:formatCode>
                <c:ptCount val="3"/>
                <c:pt idx="0">
                  <c:v>986.59725000000003</c:v>
                </c:pt>
                <c:pt idx="1">
                  <c:v>927.77240625000002</c:v>
                </c:pt>
                <c:pt idx="2">
                  <c:v>429.15478124999998</c:v>
                </c:pt>
              </c:numCache>
            </c:numRef>
          </c:val>
          <c:extLst>
            <c:ext xmlns:c16="http://schemas.microsoft.com/office/drawing/2014/chart" uri="{C3380CC4-5D6E-409C-BE32-E72D297353CC}">
              <c16:uniqueId val="{00000000-3BF8-4596-AE0A-1546B027754B}"/>
            </c:ext>
          </c:extLst>
        </c:ser>
        <c:ser>
          <c:idx val="1"/>
          <c:order val="1"/>
          <c:tx>
            <c:strRef>
              <c:f>'NS nephrops over 300kW'!$K$140</c:f>
              <c:strCache>
                <c:ptCount val="1"/>
                <c:pt idx="0">
                  <c:v>Operating costs</c:v>
                </c:pt>
              </c:strCache>
            </c:strRef>
          </c:tx>
          <c:spPr>
            <a:solidFill>
              <a:srgbClr val="E87308"/>
            </a:solidFill>
          </c:spPr>
          <c:invertIfNegative val="0"/>
          <c:cat>
            <c:strRef>
              <c:f>'NS nephrops over 300kW'!$L$138:$N$138</c:f>
              <c:strCache>
                <c:ptCount val="3"/>
                <c:pt idx="0">
                  <c:v>Most
profitable
quartile</c:v>
                </c:pt>
                <c:pt idx="1">
                  <c:v>Middle
two quartiles</c:v>
                </c:pt>
                <c:pt idx="2">
                  <c:v>Least
profitable
quartile</c:v>
                </c:pt>
              </c:strCache>
            </c:strRef>
          </c:cat>
          <c:val>
            <c:numRef>
              <c:f>'NS nephrops over 300kW'!$L$140:$N$140</c:f>
              <c:numCache>
                <c:formatCode>#,##0</c:formatCode>
                <c:ptCount val="3"/>
                <c:pt idx="0">
                  <c:v>825.00049999999999</c:v>
                </c:pt>
                <c:pt idx="1">
                  <c:v>821.64884374999997</c:v>
                </c:pt>
                <c:pt idx="2">
                  <c:v>428.941125</c:v>
                </c:pt>
              </c:numCache>
            </c:numRef>
          </c:val>
          <c:extLst>
            <c:ext xmlns:c16="http://schemas.microsoft.com/office/drawing/2014/chart" uri="{C3380CC4-5D6E-409C-BE32-E72D297353CC}">
              <c16:uniqueId val="{00000001-3BF8-4596-AE0A-1546B027754B}"/>
            </c:ext>
          </c:extLst>
        </c:ser>
        <c:ser>
          <c:idx val="2"/>
          <c:order val="2"/>
          <c:tx>
            <c:strRef>
              <c:f>'NS nephrops over 300kW'!$K$141</c:f>
              <c:strCache>
                <c:ptCount val="1"/>
                <c:pt idx="0">
                  <c:v>Operating profit</c:v>
                </c:pt>
              </c:strCache>
            </c:strRef>
          </c:tx>
          <c:spPr>
            <a:solidFill>
              <a:srgbClr val="51AA81"/>
            </a:solidFill>
          </c:spPr>
          <c:invertIfNegative val="0"/>
          <c:cat>
            <c:strRef>
              <c:f>'NS nephrops over 300kW'!$L$138:$N$138</c:f>
              <c:strCache>
                <c:ptCount val="3"/>
                <c:pt idx="0">
                  <c:v>Most
profitable
quartile</c:v>
                </c:pt>
                <c:pt idx="1">
                  <c:v>Middle
two quartiles</c:v>
                </c:pt>
                <c:pt idx="2">
                  <c:v>Least
profitable
quartile</c:v>
                </c:pt>
              </c:strCache>
            </c:strRef>
          </c:cat>
          <c:val>
            <c:numRef>
              <c:f>'NS nephrops over 300kW'!$L$141:$N$141</c:f>
              <c:numCache>
                <c:formatCode>#,##0</c:formatCode>
                <c:ptCount val="3"/>
                <c:pt idx="0">
                  <c:v>161.59674999999999</c:v>
                </c:pt>
                <c:pt idx="1">
                  <c:v>106.12356250000001</c:v>
                </c:pt>
                <c:pt idx="2">
                  <c:v>0.21365624999999999</c:v>
                </c:pt>
              </c:numCache>
            </c:numRef>
          </c:val>
          <c:extLst>
            <c:ext xmlns:c16="http://schemas.microsoft.com/office/drawing/2014/chart" uri="{C3380CC4-5D6E-409C-BE32-E72D297353CC}">
              <c16:uniqueId val="{00000002-3BF8-4596-AE0A-1546B027754B}"/>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 nephrops over 300kW'!$K$142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300kW'!$A$48</c:f>
          <c:strCache>
            <c:ptCount val="1"/>
            <c:pt idx="0">
              <c:v>Landings per kW day at sea (kg)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A8AC-4D53-8D26-932E0709EDC7}"/>
              </c:ext>
            </c:extLst>
          </c:dPt>
          <c:dPt>
            <c:idx val="10"/>
            <c:bubble3D val="0"/>
            <c:spPr>
              <a:ln w="57150">
                <a:solidFill>
                  <a:srgbClr val="2273B9"/>
                </a:solidFill>
                <a:prstDash val="sysDot"/>
              </a:ln>
            </c:spPr>
            <c:extLst>
              <c:ext xmlns:c16="http://schemas.microsoft.com/office/drawing/2014/chart" uri="{C3380CC4-5D6E-409C-BE32-E72D297353CC}">
                <c16:uniqueId val="{00000003-A8AC-4D53-8D26-932E0709EDC7}"/>
              </c:ext>
            </c:extLst>
          </c:dPt>
          <c:cat>
            <c:numRef>
              <c:f>'NS nephrops under 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 nephrops under 300kW'!$D$21:$N$21</c:f>
              <c:numCache>
                <c:formatCode>#,##0.00</c:formatCode>
                <c:ptCount val="11"/>
                <c:pt idx="0">
                  <c:v>2.9502739506136586</c:v>
                </c:pt>
                <c:pt idx="1">
                  <c:v>2.8683846365261076</c:v>
                </c:pt>
                <c:pt idx="2">
                  <c:v>2.8315494410973101</c:v>
                </c:pt>
                <c:pt idx="3">
                  <c:v>3.055330906822975</c:v>
                </c:pt>
                <c:pt idx="4">
                  <c:v>2.3536535412319641</c:v>
                </c:pt>
                <c:pt idx="5">
                  <c:v>2.8779996556265526</c:v>
                </c:pt>
                <c:pt idx="6">
                  <c:v>3.0225267443103707</c:v>
                </c:pt>
                <c:pt idx="7">
                  <c:v>2.9461208976049122</c:v>
                </c:pt>
                <c:pt idx="8">
                  <c:v>3.368814536579968</c:v>
                </c:pt>
                <c:pt idx="9">
                  <c:v>2.4588692636102594</c:v>
                </c:pt>
                <c:pt idx="10">
                  <c:v>2.8518150924564001</c:v>
                </c:pt>
              </c:numCache>
            </c:numRef>
          </c:val>
          <c:smooth val="0"/>
          <c:extLst>
            <c:ext xmlns:c16="http://schemas.microsoft.com/office/drawing/2014/chart" uri="{C3380CC4-5D6E-409C-BE32-E72D297353CC}">
              <c16:uniqueId val="{00000004-A8AC-4D53-8D26-932E0709EDC7}"/>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300kW'!$A$49</c:f>
          <c:strCache>
            <c:ptCount val="1"/>
            <c:pt idx="0">
              <c:v>Fishing income per kW day at sea (£)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B53E-4FCF-92CE-3788758B96DB}"/>
              </c:ext>
            </c:extLst>
          </c:dPt>
          <c:dPt>
            <c:idx val="10"/>
            <c:bubble3D val="0"/>
            <c:spPr>
              <a:ln w="57150">
                <a:solidFill>
                  <a:srgbClr val="648C2E"/>
                </a:solidFill>
                <a:prstDash val="sysDot"/>
              </a:ln>
            </c:spPr>
            <c:extLst>
              <c:ext xmlns:c16="http://schemas.microsoft.com/office/drawing/2014/chart" uri="{C3380CC4-5D6E-409C-BE32-E72D297353CC}">
                <c16:uniqueId val="{00000003-B53E-4FCF-92CE-3788758B96DB}"/>
              </c:ext>
            </c:extLst>
          </c:dPt>
          <c:cat>
            <c:numRef>
              <c:f>'NS nephrops under 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 nephrops under 300kW'!$D$22:$N$22</c:f>
              <c:numCache>
                <c:formatCode>#,##0.00</c:formatCode>
                <c:ptCount val="11"/>
                <c:pt idx="0">
                  <c:v>9.5591964686918303</c:v>
                </c:pt>
                <c:pt idx="1">
                  <c:v>8.9777715087743193</c:v>
                </c:pt>
                <c:pt idx="2">
                  <c:v>7.6807682870773499</c:v>
                </c:pt>
                <c:pt idx="3">
                  <c:v>8.9380570846318896</c:v>
                </c:pt>
                <c:pt idx="4">
                  <c:v>6.8962527065837502</c:v>
                </c:pt>
                <c:pt idx="5">
                  <c:v>8.3059373557204506</c:v>
                </c:pt>
                <c:pt idx="6">
                  <c:v>8.7930655941539406</c:v>
                </c:pt>
                <c:pt idx="7">
                  <c:v>8.6770141849200098</c:v>
                </c:pt>
                <c:pt idx="8">
                  <c:v>8.6333160541534006</c:v>
                </c:pt>
                <c:pt idx="9">
                  <c:v>5.4016227643476498</c:v>
                </c:pt>
                <c:pt idx="10">
                  <c:v>6.1132246525251546</c:v>
                </c:pt>
              </c:numCache>
            </c:numRef>
          </c:val>
          <c:smooth val="0"/>
          <c:extLst>
            <c:ext xmlns:c16="http://schemas.microsoft.com/office/drawing/2014/chart" uri="{C3380CC4-5D6E-409C-BE32-E72D297353CC}">
              <c16:uniqueId val="{00000004-B53E-4FCF-92CE-3788758B96DB}"/>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300kW'!$B$62</c:f>
          <c:strCache>
            <c:ptCount val="1"/>
            <c:pt idx="0">
              <c:v>Total cost per kW day at sea (£)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F95E-4D09-8CDC-9201521308FF}"/>
              </c:ext>
            </c:extLst>
          </c:dPt>
          <c:dPt>
            <c:idx val="10"/>
            <c:bubble3D val="0"/>
            <c:spPr>
              <a:ln w="57150">
                <a:solidFill>
                  <a:srgbClr val="087CBB"/>
                </a:solidFill>
                <a:prstDash val="sysDot"/>
              </a:ln>
            </c:spPr>
            <c:extLst>
              <c:ext xmlns:c16="http://schemas.microsoft.com/office/drawing/2014/chart" uri="{C3380CC4-5D6E-409C-BE32-E72D297353CC}">
                <c16:uniqueId val="{00000003-F95E-4D09-8CDC-9201521308FF}"/>
              </c:ext>
            </c:extLst>
          </c:dPt>
          <c:cat>
            <c:numRef>
              <c:f>'NS nephrops under 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 nephrops under 300kW'!$D$23:$N$23</c:f>
              <c:numCache>
                <c:formatCode>#,##0.00</c:formatCode>
                <c:ptCount val="11"/>
                <c:pt idx="0">
                  <c:v>9.4763479370840393</c:v>
                </c:pt>
                <c:pt idx="1">
                  <c:v>8.9226086356728196</c:v>
                </c:pt>
                <c:pt idx="2">
                  <c:v>8.4154340357094597</c:v>
                </c:pt>
                <c:pt idx="3">
                  <c:v>8.5264053681967198</c:v>
                </c:pt>
                <c:pt idx="4">
                  <c:v>6.7825287692801002</c:v>
                </c:pt>
                <c:pt idx="5">
                  <c:v>7.52040837237523</c:v>
                </c:pt>
                <c:pt idx="6">
                  <c:v>8.1301951607297607</c:v>
                </c:pt>
                <c:pt idx="7">
                  <c:v>8.3114869230735895</c:v>
                </c:pt>
                <c:pt idx="8">
                  <c:v>8.3292040581388296</c:v>
                </c:pt>
                <c:pt idx="9">
                  <c:v>5.5845919081910997</c:v>
                </c:pt>
                <c:pt idx="10">
                  <c:v>6.3265049410158785</c:v>
                </c:pt>
              </c:numCache>
            </c:numRef>
          </c:val>
          <c:smooth val="0"/>
          <c:extLst>
            <c:ext xmlns:c16="http://schemas.microsoft.com/office/drawing/2014/chart" uri="{C3380CC4-5D6E-409C-BE32-E72D297353CC}">
              <c16:uniqueId val="{00000004-F95E-4D09-8CDC-9201521308FF}"/>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300kW'!$K$48</c:f>
          <c:strCache>
            <c:ptCount val="1"/>
            <c:pt idx="0">
              <c:v>Operating profit per kW day at sea (£)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E698-4C0D-9FB9-B7B08B9EC330}"/>
              </c:ext>
            </c:extLst>
          </c:dPt>
          <c:dPt>
            <c:idx val="10"/>
            <c:bubble3D val="0"/>
            <c:spPr>
              <a:ln w="57150">
                <a:solidFill>
                  <a:schemeClr val="accent3"/>
                </a:solidFill>
                <a:prstDash val="sysDot"/>
              </a:ln>
            </c:spPr>
            <c:extLst>
              <c:ext xmlns:c16="http://schemas.microsoft.com/office/drawing/2014/chart" uri="{C3380CC4-5D6E-409C-BE32-E72D297353CC}">
                <c16:uniqueId val="{00000003-E698-4C0D-9FB9-B7B08B9EC330}"/>
              </c:ext>
            </c:extLst>
          </c:dPt>
          <c:cat>
            <c:numRef>
              <c:f>'NS nephrops under 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 nephrops under 300kW'!$D$24:$N$24</c:f>
              <c:numCache>
                <c:formatCode>#,##0.00</c:formatCode>
                <c:ptCount val="11"/>
                <c:pt idx="0">
                  <c:v>1.81593135354012</c:v>
                </c:pt>
                <c:pt idx="1">
                  <c:v>1.3441431792166001</c:v>
                </c:pt>
                <c:pt idx="2">
                  <c:v>0.57633419238379202</c:v>
                </c:pt>
                <c:pt idx="3">
                  <c:v>1.0576874174376201</c:v>
                </c:pt>
                <c:pt idx="4">
                  <c:v>0.51200530677483902</c:v>
                </c:pt>
                <c:pt idx="5">
                  <c:v>1.3687083109652201</c:v>
                </c:pt>
                <c:pt idx="6">
                  <c:v>1.46998826017733</c:v>
                </c:pt>
                <c:pt idx="7">
                  <c:v>0.76530362493874604</c:v>
                </c:pt>
                <c:pt idx="8">
                  <c:v>0.55726272544280697</c:v>
                </c:pt>
                <c:pt idx="9">
                  <c:v>1.11390652606037</c:v>
                </c:pt>
                <c:pt idx="10">
                  <c:v>0.65626264834410852</c:v>
                </c:pt>
              </c:numCache>
            </c:numRef>
          </c:val>
          <c:smooth val="0"/>
          <c:extLst>
            <c:ext xmlns:c16="http://schemas.microsoft.com/office/drawing/2014/chart" uri="{C3380CC4-5D6E-409C-BE32-E72D297353CC}">
              <c16:uniqueId val="{00000004-E698-4C0D-9FB9-B7B08B9EC330}"/>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300kW'!$A$50</c:f>
          <c:strCache>
            <c:ptCount val="1"/>
            <c:pt idx="0">
              <c:v>Average price per tonne landed (£)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E63E-4335-8A0E-AB1525940934}"/>
              </c:ext>
            </c:extLst>
          </c:dPt>
          <c:dPt>
            <c:idx val="10"/>
            <c:bubble3D val="0"/>
            <c:spPr>
              <a:ln w="57150">
                <a:solidFill>
                  <a:schemeClr val="accent4"/>
                </a:solidFill>
                <a:prstDash val="sysDot"/>
              </a:ln>
            </c:spPr>
            <c:extLst>
              <c:ext xmlns:c16="http://schemas.microsoft.com/office/drawing/2014/chart" uri="{C3380CC4-5D6E-409C-BE32-E72D297353CC}">
                <c16:uniqueId val="{00000003-E63E-4335-8A0E-AB1525940934}"/>
              </c:ext>
            </c:extLst>
          </c:dPt>
          <c:cat>
            <c:numRef>
              <c:f>'NS nephrops under 300kW'!$D$2:$M$2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nephrops under 300kW'!$D$20:$N$20</c:f>
              <c:numCache>
                <c:formatCode>#,##0</c:formatCode>
                <c:ptCount val="11"/>
                <c:pt idx="0">
                  <c:v>3240</c:v>
                </c:pt>
                <c:pt idx="1">
                  <c:v>3130</c:v>
                </c:pt>
                <c:pt idx="2">
                  <c:v>2713</c:v>
                </c:pt>
                <c:pt idx="3">
                  <c:v>2925</c:v>
                </c:pt>
                <c:pt idx="4">
                  <c:v>2930</c:v>
                </c:pt>
                <c:pt idx="5">
                  <c:v>2886</c:v>
                </c:pt>
                <c:pt idx="6">
                  <c:v>2909</c:v>
                </c:pt>
                <c:pt idx="7">
                  <c:v>2945</c:v>
                </c:pt>
                <c:pt idx="8">
                  <c:v>2563</c:v>
                </c:pt>
                <c:pt idx="9">
                  <c:v>2197</c:v>
                </c:pt>
                <c:pt idx="10">
                  <c:v>2144</c:v>
                </c:pt>
              </c:numCache>
            </c:numRef>
          </c:val>
          <c:smooth val="0"/>
          <c:extLst>
            <c:ext xmlns:c16="http://schemas.microsoft.com/office/drawing/2014/chart" uri="{C3380CC4-5D6E-409C-BE32-E72D297353CC}">
              <c16:uniqueId val="{00000004-E63E-4335-8A0E-AB1525940934}"/>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o250kW'!$B$62</c:f>
          <c:strCache>
            <c:ptCount val="1"/>
            <c:pt idx="0">
              <c:v>Total cost per kW day at sea (£)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D19C-4068-A197-3B2252FA3AA4}"/>
              </c:ext>
            </c:extLst>
          </c:dPt>
          <c:dPt>
            <c:idx val="10"/>
            <c:bubble3D val="0"/>
            <c:spPr>
              <a:ln w="57150">
                <a:solidFill>
                  <a:srgbClr val="087CBB"/>
                </a:solidFill>
                <a:prstDash val="sysDot"/>
              </a:ln>
            </c:spPr>
            <c:extLst>
              <c:ext xmlns:c16="http://schemas.microsoft.com/office/drawing/2014/chart" uri="{C3380CC4-5D6E-409C-BE32-E72D297353CC}">
                <c16:uniqueId val="{00000003-D19C-4068-A197-3B2252FA3AA4}"/>
              </c:ext>
            </c:extLst>
          </c:dPt>
          <c:cat>
            <c:numRef>
              <c:f>'Area VIIa nephrops o250kW'!$D$2:$N$2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'Area VIIa nephrops o250kW'!$D$23:$N$23</c:f>
              <c:numCache>
                <c:formatCode>#,##0.00</c:formatCode>
                <c:ptCount val="11"/>
                <c:pt idx="0">
                  <c:v>5.2572665720781204</c:v>
                </c:pt>
                <c:pt idx="1">
                  <c:v>4.8449247257545798</c:v>
                </c:pt>
                <c:pt idx="2">
                  <c:v>4.1222067432517404</c:v>
                </c:pt>
                <c:pt idx="3">
                  <c:v>4.2720725593608</c:v>
                </c:pt>
                <c:pt idx="4">
                  <c:v>3.8950553910439298</c:v>
                </c:pt>
                <c:pt idx="5">
                  <c:v>4.0173953488857501</c:v>
                </c:pt>
                <c:pt idx="6">
                  <c:v>4.5168467651770898</c:v>
                </c:pt>
                <c:pt idx="7">
                  <c:v>4.9925827987973301</c:v>
                </c:pt>
                <c:pt idx="8">
                  <c:v>5.4560858973882898</c:v>
                </c:pt>
                <c:pt idx="9">
                  <c:v>4.8485266418841002</c:v>
                </c:pt>
                <c:pt idx="10">
                  <c:v>4.7386531048847376</c:v>
                </c:pt>
              </c:numCache>
            </c:numRef>
          </c:val>
          <c:smooth val="0"/>
          <c:extLst>
            <c:ext xmlns:c16="http://schemas.microsoft.com/office/drawing/2014/chart" uri="{C3380CC4-5D6E-409C-BE32-E72D297353CC}">
              <c16:uniqueId val="{00000004-D19C-4068-A197-3B2252FA3AA4}"/>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300kW'!$K$62</c:f>
          <c:strCache>
            <c:ptCount val="1"/>
            <c:pt idx="0">
              <c:v>Average annual operating profit per vessel (£'000)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E98D-4D4B-97E9-4148DE8ECBBE}"/>
              </c:ext>
            </c:extLst>
          </c:dPt>
          <c:dPt>
            <c:idx val="10"/>
            <c:bubble3D val="0"/>
            <c:spPr>
              <a:ln w="57150">
                <a:solidFill>
                  <a:schemeClr val="accent5"/>
                </a:solidFill>
                <a:prstDash val="sysDot"/>
              </a:ln>
            </c:spPr>
            <c:extLst>
              <c:ext xmlns:c16="http://schemas.microsoft.com/office/drawing/2014/chart" uri="{C3380CC4-5D6E-409C-BE32-E72D297353CC}">
                <c16:uniqueId val="{00000003-E98D-4D4B-97E9-4148DE8ECBBE}"/>
              </c:ext>
            </c:extLst>
          </c:dPt>
          <c:cat>
            <c:numRef>
              <c:f>'NS nephrops under 300kW'!$D$2:$M$2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 nephrops under 300kW'!$D$37:$N$37</c:f>
              <c:numCache>
                <c:formatCode>#,##0.0</c:formatCode>
                <c:ptCount val="11"/>
                <c:pt idx="0">
                  <c:v>47.5</c:v>
                </c:pt>
                <c:pt idx="1">
                  <c:v>33.9</c:v>
                </c:pt>
                <c:pt idx="2">
                  <c:v>12.9</c:v>
                </c:pt>
                <c:pt idx="3">
                  <c:v>23.4</c:v>
                </c:pt>
                <c:pt idx="4">
                  <c:v>10.3</c:v>
                </c:pt>
                <c:pt idx="5">
                  <c:v>35.200000000000003</c:v>
                </c:pt>
                <c:pt idx="6">
                  <c:v>33.799999999999997</c:v>
                </c:pt>
                <c:pt idx="7">
                  <c:v>17.2</c:v>
                </c:pt>
                <c:pt idx="8">
                  <c:v>12.9</c:v>
                </c:pt>
                <c:pt idx="9">
                  <c:v>20.399999999999999</c:v>
                </c:pt>
                <c:pt idx="10">
                  <c:v>12.4</c:v>
                </c:pt>
              </c:numCache>
            </c:numRef>
          </c:val>
          <c:smooth val="0"/>
          <c:extLst>
            <c:ext xmlns:c16="http://schemas.microsoft.com/office/drawing/2014/chart" uri="{C3380CC4-5D6E-409C-BE32-E72D297353CC}">
              <c16:uniqueId val="{00000004-E98D-4D4B-97E9-4148DE8ECBBE}"/>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under 300kW'!$A$76</c:f>
          <c:strCache>
            <c:ptCount val="1"/>
            <c:pt idx="0">
              <c:v>Top 5 landed species by volume in 2020
North Sea nephrops under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DF86-4B6C-AC39-B751315D37D7}"/>
              </c:ext>
            </c:extLst>
          </c:dPt>
          <c:dPt>
            <c:idx val="1"/>
            <c:bubble3D val="0"/>
            <c:spPr>
              <a:solidFill>
                <a:srgbClr val="C1D119"/>
              </a:solidFill>
              <a:ln>
                <a:solidFill>
                  <a:srgbClr val="FFFFFF"/>
                </a:solidFill>
              </a:ln>
            </c:spPr>
            <c:extLst>
              <c:ext xmlns:c16="http://schemas.microsoft.com/office/drawing/2014/chart" uri="{C3380CC4-5D6E-409C-BE32-E72D297353CC}">
                <c16:uniqueId val="{00000003-DF86-4B6C-AC39-B751315D37D7}"/>
              </c:ext>
            </c:extLst>
          </c:dPt>
          <c:dPt>
            <c:idx val="2"/>
            <c:bubble3D val="0"/>
            <c:spPr>
              <a:solidFill>
                <a:srgbClr val="0F9AA9"/>
              </a:solidFill>
              <a:ln>
                <a:solidFill>
                  <a:srgbClr val="FFFFFF"/>
                </a:solidFill>
              </a:ln>
            </c:spPr>
            <c:extLst>
              <c:ext xmlns:c16="http://schemas.microsoft.com/office/drawing/2014/chart" uri="{C3380CC4-5D6E-409C-BE32-E72D297353CC}">
                <c16:uniqueId val="{00000005-DF86-4B6C-AC39-B751315D37D7}"/>
              </c:ext>
            </c:extLst>
          </c:dPt>
          <c:dPt>
            <c:idx val="3"/>
            <c:bubble3D val="0"/>
            <c:spPr>
              <a:solidFill>
                <a:srgbClr val="E87308"/>
              </a:solidFill>
              <a:ln>
                <a:solidFill>
                  <a:srgbClr val="FFFFFF"/>
                </a:solidFill>
              </a:ln>
            </c:spPr>
            <c:extLst>
              <c:ext xmlns:c16="http://schemas.microsoft.com/office/drawing/2014/chart" uri="{C3380CC4-5D6E-409C-BE32-E72D297353CC}">
                <c16:uniqueId val="{00000007-DF86-4B6C-AC39-B751315D37D7}"/>
              </c:ext>
            </c:extLst>
          </c:dPt>
          <c:dPt>
            <c:idx val="4"/>
            <c:bubble3D val="0"/>
            <c:spPr>
              <a:solidFill>
                <a:srgbClr val="648C2E"/>
              </a:solidFill>
              <a:ln>
                <a:solidFill>
                  <a:srgbClr val="FFFFFF"/>
                </a:solidFill>
              </a:ln>
            </c:spPr>
            <c:extLst>
              <c:ext xmlns:c16="http://schemas.microsoft.com/office/drawing/2014/chart" uri="{C3380CC4-5D6E-409C-BE32-E72D297353CC}">
                <c16:uniqueId val="{00000009-DF86-4B6C-AC39-B751315D37D7}"/>
              </c:ext>
            </c:extLst>
          </c:dPt>
          <c:dPt>
            <c:idx val="5"/>
            <c:bubble3D val="0"/>
            <c:spPr>
              <a:solidFill>
                <a:srgbClr val="55585A"/>
              </a:solidFill>
              <a:ln>
                <a:solidFill>
                  <a:srgbClr val="FFFFFF"/>
                </a:solidFill>
              </a:ln>
            </c:spPr>
            <c:extLst>
              <c:ext xmlns:c16="http://schemas.microsoft.com/office/drawing/2014/chart" uri="{C3380CC4-5D6E-409C-BE32-E72D297353CC}">
                <c16:uniqueId val="{0000000B-DF86-4B6C-AC39-B751315D37D7}"/>
              </c:ext>
            </c:extLst>
          </c:dPt>
          <c:cat>
            <c:strRef>
              <c:f>'NS nephrops under 300kW'!$B$77:$B$82</c:f>
              <c:strCache>
                <c:ptCount val="6"/>
                <c:pt idx="0">
                  <c:v>Nephrops - 81.4%</c:v>
                </c:pt>
                <c:pt idx="1">
                  <c:v>Haddock - 4.3%</c:v>
                </c:pt>
                <c:pt idx="2">
                  <c:v>Whiting - 3.5%</c:v>
                </c:pt>
                <c:pt idx="3">
                  <c:v>Anglerfish - 3.4%</c:v>
                </c:pt>
                <c:pt idx="4">
                  <c:v>Squid - 1.9%</c:v>
                </c:pt>
                <c:pt idx="5">
                  <c:v>Others - 5.6%</c:v>
                </c:pt>
              </c:strCache>
            </c:strRef>
          </c:cat>
          <c:val>
            <c:numRef>
              <c:f>'NS nephrops under 300kW'!$C$77:$C$82</c:f>
              <c:numCache>
                <c:formatCode>0.0%</c:formatCode>
                <c:ptCount val="6"/>
                <c:pt idx="0">
                  <c:v>0.81407376300158041</c:v>
                </c:pt>
                <c:pt idx="1">
                  <c:v>4.3046784161706479E-2</c:v>
                </c:pt>
                <c:pt idx="2">
                  <c:v>3.4544780838162363E-2</c:v>
                </c:pt>
                <c:pt idx="3">
                  <c:v>3.3765262079122262E-2</c:v>
                </c:pt>
                <c:pt idx="4">
                  <c:v>1.8779270822760551E-2</c:v>
                </c:pt>
                <c:pt idx="5">
                  <c:v>5.5790139096667968E-2</c:v>
                </c:pt>
              </c:numCache>
            </c:numRef>
          </c:val>
          <c:extLst>
            <c:ext xmlns:c16="http://schemas.microsoft.com/office/drawing/2014/chart" uri="{C3380CC4-5D6E-409C-BE32-E72D297353CC}">
              <c16:uniqueId val="{0000000C-DF86-4B6C-AC39-B751315D37D7}"/>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under 300kW'!$F$76</c:f>
          <c:strCache>
            <c:ptCount val="1"/>
            <c:pt idx="0">
              <c:v>Top 5 landed species by value in 2020
North Sea nephrops under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1E64-4893-97F4-C49994BA05D8}"/>
              </c:ext>
            </c:extLst>
          </c:dPt>
          <c:dPt>
            <c:idx val="1"/>
            <c:bubble3D val="0"/>
            <c:spPr>
              <a:solidFill>
                <a:srgbClr val="E87308"/>
              </a:solidFill>
              <a:ln>
                <a:solidFill>
                  <a:srgbClr val="FFFFFF"/>
                </a:solidFill>
              </a:ln>
            </c:spPr>
            <c:extLst>
              <c:ext xmlns:c16="http://schemas.microsoft.com/office/drawing/2014/chart" uri="{C3380CC4-5D6E-409C-BE32-E72D297353CC}">
                <c16:uniqueId val="{00000003-1E64-4893-97F4-C49994BA05D8}"/>
              </c:ext>
            </c:extLst>
          </c:dPt>
          <c:dPt>
            <c:idx val="2"/>
            <c:bubble3D val="0"/>
            <c:spPr>
              <a:solidFill>
                <a:srgbClr val="648C2E"/>
              </a:solidFill>
              <a:ln>
                <a:solidFill>
                  <a:srgbClr val="FFFFFF"/>
                </a:solidFill>
              </a:ln>
            </c:spPr>
            <c:extLst>
              <c:ext xmlns:c16="http://schemas.microsoft.com/office/drawing/2014/chart" uri="{C3380CC4-5D6E-409C-BE32-E72D297353CC}">
                <c16:uniqueId val="{00000005-1E64-4893-97F4-C49994BA05D8}"/>
              </c:ext>
            </c:extLst>
          </c:dPt>
          <c:dPt>
            <c:idx val="3"/>
            <c:bubble3D val="0"/>
            <c:spPr>
              <a:solidFill>
                <a:srgbClr val="C1D119"/>
              </a:solidFill>
              <a:ln>
                <a:solidFill>
                  <a:srgbClr val="FFFFFF"/>
                </a:solidFill>
              </a:ln>
            </c:spPr>
            <c:extLst>
              <c:ext xmlns:c16="http://schemas.microsoft.com/office/drawing/2014/chart" uri="{C3380CC4-5D6E-409C-BE32-E72D297353CC}">
                <c16:uniqueId val="{00000007-1E64-4893-97F4-C49994BA05D8}"/>
              </c:ext>
            </c:extLst>
          </c:dPt>
          <c:dPt>
            <c:idx val="4"/>
            <c:bubble3D val="0"/>
            <c:spPr>
              <a:solidFill>
                <a:srgbClr val="E84A38"/>
              </a:solidFill>
              <a:ln>
                <a:solidFill>
                  <a:srgbClr val="FFFFFF"/>
                </a:solidFill>
              </a:ln>
            </c:spPr>
            <c:extLst>
              <c:ext xmlns:c16="http://schemas.microsoft.com/office/drawing/2014/chart" uri="{C3380CC4-5D6E-409C-BE32-E72D297353CC}">
                <c16:uniqueId val="{00000009-1E64-4893-97F4-C49994BA05D8}"/>
              </c:ext>
            </c:extLst>
          </c:dPt>
          <c:dPt>
            <c:idx val="5"/>
            <c:bubble3D val="0"/>
            <c:spPr>
              <a:solidFill>
                <a:srgbClr val="55585A"/>
              </a:solidFill>
              <a:ln>
                <a:solidFill>
                  <a:srgbClr val="FFFFFF"/>
                </a:solidFill>
              </a:ln>
            </c:spPr>
            <c:extLst>
              <c:ext xmlns:c16="http://schemas.microsoft.com/office/drawing/2014/chart" uri="{C3380CC4-5D6E-409C-BE32-E72D297353CC}">
                <c16:uniqueId val="{0000000B-1E64-4893-97F4-C49994BA05D8}"/>
              </c:ext>
            </c:extLst>
          </c:dPt>
          <c:cat>
            <c:strRef>
              <c:f>'NS nephrops under 300kW'!$G$77:$G$82</c:f>
              <c:strCache>
                <c:ptCount val="6"/>
                <c:pt idx="0">
                  <c:v>Nephrops - 85.3%</c:v>
                </c:pt>
                <c:pt idx="1">
                  <c:v>Anglerfish - 3.8%</c:v>
                </c:pt>
                <c:pt idx="2">
                  <c:v>Squid - 2.4%</c:v>
                </c:pt>
                <c:pt idx="3">
                  <c:v>Haddock - 2.1%</c:v>
                </c:pt>
                <c:pt idx="4">
                  <c:v>Cod - 1.3%</c:v>
                </c:pt>
                <c:pt idx="5">
                  <c:v>Others - 5.1%</c:v>
                </c:pt>
              </c:strCache>
            </c:strRef>
          </c:cat>
          <c:val>
            <c:numRef>
              <c:f>'NS nephrops under 300kW'!$H$77:$H$82</c:f>
              <c:numCache>
                <c:formatCode>0.0%</c:formatCode>
                <c:ptCount val="6"/>
                <c:pt idx="0">
                  <c:v>0.85260492034061564</c:v>
                </c:pt>
                <c:pt idx="1">
                  <c:v>3.7592282516386105E-2</c:v>
                </c:pt>
                <c:pt idx="2">
                  <c:v>2.3828643296134853E-2</c:v>
                </c:pt>
                <c:pt idx="3">
                  <c:v>2.1161218696633746E-2</c:v>
                </c:pt>
                <c:pt idx="4">
                  <c:v>1.3323551287098426E-2</c:v>
                </c:pt>
                <c:pt idx="5">
                  <c:v>5.1489383863131177E-2</c:v>
                </c:pt>
              </c:numCache>
            </c:numRef>
          </c:val>
          <c:extLst>
            <c:ext xmlns:c16="http://schemas.microsoft.com/office/drawing/2014/chart" uri="{C3380CC4-5D6E-409C-BE32-E72D297353CC}">
              <c16:uniqueId val="{0000000C-1E64-4893-97F4-C49994BA05D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under 300kW'!$K$77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 nephrops under 300kW'!$C$92</c:f>
              <c:strCache>
                <c:ptCount val="1"/>
                <c:pt idx="0">
                  <c:v>Nephrops</c:v>
                </c:pt>
              </c:strCache>
            </c:strRef>
          </c:tx>
          <c:spPr>
            <a:solidFill>
              <a:srgbClr val="2273B9"/>
            </a:solidFill>
            <a:ln>
              <a:solidFill>
                <a:srgbClr val="FFFFFF"/>
              </a:solidFill>
            </a:ln>
          </c:spPr>
          <c:invertIfNegative val="0"/>
          <c:cat>
            <c:numRef>
              <c:f>'NS nephrops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nephrops under 300kW'!$D$92:$M$92</c:f>
              <c:numCache>
                <c:formatCode>0%</c:formatCode>
                <c:ptCount val="10"/>
                <c:pt idx="0">
                  <c:v>0.87436892125458099</c:v>
                </c:pt>
                <c:pt idx="1">
                  <c:v>0.86746253934379847</c:v>
                </c:pt>
                <c:pt idx="2">
                  <c:v>0.84242194081927868</c:v>
                </c:pt>
                <c:pt idx="3">
                  <c:v>0.87395733269264164</c:v>
                </c:pt>
                <c:pt idx="4">
                  <c:v>0.81288988720656163</c:v>
                </c:pt>
                <c:pt idx="5">
                  <c:v>0.80573828944318304</c:v>
                </c:pt>
                <c:pt idx="6">
                  <c:v>0.84907205540570596</c:v>
                </c:pt>
                <c:pt idx="7">
                  <c:v>0.87214342376848364</c:v>
                </c:pt>
                <c:pt idx="8">
                  <c:v>0.85260492034061564</c:v>
                </c:pt>
                <c:pt idx="9">
                  <c:v>0.85919760231533326</c:v>
                </c:pt>
              </c:numCache>
            </c:numRef>
          </c:val>
          <c:extLst>
            <c:ext xmlns:c16="http://schemas.microsoft.com/office/drawing/2014/chart" uri="{C3380CC4-5D6E-409C-BE32-E72D297353CC}">
              <c16:uniqueId val="{00000000-AD7A-44A3-8155-3A5067B98344}"/>
            </c:ext>
          </c:extLst>
        </c:ser>
        <c:ser>
          <c:idx val="1"/>
          <c:order val="1"/>
          <c:tx>
            <c:strRef>
              <c:f>'NS nephrops under 300kW'!$C$93</c:f>
              <c:strCache>
                <c:ptCount val="1"/>
                <c:pt idx="0">
                  <c:v>Anglerfish</c:v>
                </c:pt>
              </c:strCache>
            </c:strRef>
          </c:tx>
          <c:spPr>
            <a:solidFill>
              <a:srgbClr val="E87308"/>
            </a:solidFill>
            <a:ln>
              <a:solidFill>
                <a:srgbClr val="FFFFFF"/>
              </a:solidFill>
            </a:ln>
          </c:spPr>
          <c:invertIfNegative val="0"/>
          <c:cat>
            <c:numRef>
              <c:f>'NS nephrops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nephrops under 300kW'!$D$93:$M$93</c:f>
              <c:numCache>
                <c:formatCode>0%</c:formatCode>
                <c:ptCount val="10"/>
                <c:pt idx="0">
                  <c:v>1.8643631403942436E-2</c:v>
                </c:pt>
                <c:pt idx="1">
                  <c:v>1.9045899694926212E-2</c:v>
                </c:pt>
                <c:pt idx="2">
                  <c:v>2.3814822468433239E-2</c:v>
                </c:pt>
                <c:pt idx="3">
                  <c:v>3.2214785011503863E-2</c:v>
                </c:pt>
                <c:pt idx="4">
                  <c:v>3.7520450482049147E-2</c:v>
                </c:pt>
                <c:pt idx="5">
                  <c:v>2.9055101222549142E-2</c:v>
                </c:pt>
                <c:pt idx="6">
                  <c:v>2.4434976943989287E-2</c:v>
                </c:pt>
                <c:pt idx="7">
                  <c:v>1.7345722915582552E-2</c:v>
                </c:pt>
                <c:pt idx="8">
                  <c:v>3.7592282516386105E-2</c:v>
                </c:pt>
                <c:pt idx="9">
                  <c:v>3.7605317096947928E-2</c:v>
                </c:pt>
              </c:numCache>
            </c:numRef>
          </c:val>
          <c:extLst>
            <c:ext xmlns:c16="http://schemas.microsoft.com/office/drawing/2014/chart" uri="{C3380CC4-5D6E-409C-BE32-E72D297353CC}">
              <c16:uniqueId val="{00000001-AD7A-44A3-8155-3A5067B98344}"/>
            </c:ext>
          </c:extLst>
        </c:ser>
        <c:ser>
          <c:idx val="2"/>
          <c:order val="2"/>
          <c:tx>
            <c:strRef>
              <c:f>'NS nephrops under 300kW'!$C$94</c:f>
              <c:strCache>
                <c:ptCount val="1"/>
                <c:pt idx="0">
                  <c:v>Squid</c:v>
                </c:pt>
              </c:strCache>
            </c:strRef>
          </c:tx>
          <c:spPr>
            <a:solidFill>
              <a:srgbClr val="648C2E"/>
            </a:solidFill>
            <a:ln>
              <a:solidFill>
                <a:srgbClr val="FFFFFF"/>
              </a:solidFill>
            </a:ln>
          </c:spPr>
          <c:invertIfNegative val="0"/>
          <c:cat>
            <c:numRef>
              <c:f>'NS nephrops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nephrops under 300kW'!$D$94:$M$94</c:f>
              <c:numCache>
                <c:formatCode>0%</c:formatCode>
                <c:ptCount val="10"/>
                <c:pt idx="0">
                  <c:v>1.4565380742687284E-2</c:v>
                </c:pt>
                <c:pt idx="1">
                  <c:v>1.6965028622457728E-2</c:v>
                </c:pt>
                <c:pt idx="2">
                  <c:v>2.4365318977610517E-2</c:v>
                </c:pt>
                <c:pt idx="3">
                  <c:v>1.8420947575077187E-2</c:v>
                </c:pt>
                <c:pt idx="4">
                  <c:v>4.4875522437971153E-2</c:v>
                </c:pt>
                <c:pt idx="5">
                  <c:v>2.5445165431348768E-2</c:v>
                </c:pt>
                <c:pt idx="6">
                  <c:v>2.4877213574446874E-2</c:v>
                </c:pt>
                <c:pt idx="7">
                  <c:v>1.8849319636220087E-2</c:v>
                </c:pt>
                <c:pt idx="8">
                  <c:v>2.3828643296134853E-2</c:v>
                </c:pt>
              </c:numCache>
            </c:numRef>
          </c:val>
          <c:extLst>
            <c:ext xmlns:c16="http://schemas.microsoft.com/office/drawing/2014/chart" uri="{C3380CC4-5D6E-409C-BE32-E72D297353CC}">
              <c16:uniqueId val="{00000002-AD7A-44A3-8155-3A5067B98344}"/>
            </c:ext>
          </c:extLst>
        </c:ser>
        <c:ser>
          <c:idx val="3"/>
          <c:order val="3"/>
          <c:tx>
            <c:strRef>
              <c:f>'NS nephrops under 300kW'!$C$95</c:f>
              <c:strCache>
                <c:ptCount val="1"/>
                <c:pt idx="0">
                  <c:v>Haddock</c:v>
                </c:pt>
              </c:strCache>
            </c:strRef>
          </c:tx>
          <c:spPr>
            <a:solidFill>
              <a:srgbClr val="C1D119"/>
            </a:solidFill>
            <a:ln>
              <a:solidFill>
                <a:srgbClr val="FFFFFF"/>
              </a:solidFill>
            </a:ln>
          </c:spPr>
          <c:invertIfNegative val="0"/>
          <c:cat>
            <c:numRef>
              <c:f>'NS nephrops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nephrops under 300kW'!$D$95:$M$95</c:f>
              <c:numCache>
                <c:formatCode>0%</c:formatCode>
                <c:ptCount val="10"/>
                <c:pt idx="0">
                  <c:v>2.5370738124818683E-2</c:v>
                </c:pt>
                <c:pt idx="1">
                  <c:v>2.3075835593973661E-2</c:v>
                </c:pt>
                <c:pt idx="2">
                  <c:v>4.4402761661023596E-2</c:v>
                </c:pt>
                <c:pt idx="3">
                  <c:v>1.1199211404180936E-2</c:v>
                </c:pt>
                <c:pt idx="4">
                  <c:v>3.0224933323922613E-2</c:v>
                </c:pt>
                <c:pt idx="5">
                  <c:v>2.8458059575261315E-2</c:v>
                </c:pt>
                <c:pt idx="6">
                  <c:v>2.453333940729438E-2</c:v>
                </c:pt>
                <c:pt idx="7">
                  <c:v>1.6318600818924042E-2</c:v>
                </c:pt>
                <c:pt idx="8">
                  <c:v>2.1161218696633746E-2</c:v>
                </c:pt>
                <c:pt idx="9">
                  <c:v>1.2074437533715102E-2</c:v>
                </c:pt>
              </c:numCache>
            </c:numRef>
          </c:val>
          <c:extLst>
            <c:ext xmlns:c16="http://schemas.microsoft.com/office/drawing/2014/chart" uri="{C3380CC4-5D6E-409C-BE32-E72D297353CC}">
              <c16:uniqueId val="{00000003-AD7A-44A3-8155-3A5067B98344}"/>
            </c:ext>
          </c:extLst>
        </c:ser>
        <c:ser>
          <c:idx val="4"/>
          <c:order val="4"/>
          <c:tx>
            <c:strRef>
              <c:f>'NS nephrops under 300kW'!$C$96</c:f>
              <c:strCache>
                <c:ptCount val="1"/>
                <c:pt idx="0">
                  <c:v>Cod</c:v>
                </c:pt>
              </c:strCache>
            </c:strRef>
          </c:tx>
          <c:spPr>
            <a:solidFill>
              <a:srgbClr val="E84A38"/>
            </a:solidFill>
            <a:ln>
              <a:solidFill>
                <a:srgbClr val="FFFFFF"/>
              </a:solidFill>
            </a:ln>
          </c:spPr>
          <c:invertIfNegative val="0"/>
          <c:cat>
            <c:numRef>
              <c:f>'NS nephrops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nephrops under 300kW'!$D$96:$M$96</c:f>
              <c:numCache>
                <c:formatCode>0%</c:formatCode>
                <c:ptCount val="10"/>
                <c:pt idx="8">
                  <c:v>1.3323551287098426E-2</c:v>
                </c:pt>
                <c:pt idx="9">
                  <c:v>1.3394928489633175E-2</c:v>
                </c:pt>
              </c:numCache>
            </c:numRef>
          </c:val>
          <c:extLst>
            <c:ext xmlns:c16="http://schemas.microsoft.com/office/drawing/2014/chart" uri="{C3380CC4-5D6E-409C-BE32-E72D297353CC}">
              <c16:uniqueId val="{00000004-AD7A-44A3-8155-3A5067B98344}"/>
            </c:ext>
          </c:extLst>
        </c:ser>
        <c:ser>
          <c:idx val="5"/>
          <c:order val="5"/>
          <c:tx>
            <c:strRef>
              <c:f>'NS nephrops under 300kW'!$C$97</c:f>
              <c:strCache>
                <c:ptCount val="1"/>
                <c:pt idx="0">
                  <c:v>Whiting</c:v>
                </c:pt>
              </c:strCache>
            </c:strRef>
          </c:tx>
          <c:spPr>
            <a:solidFill>
              <a:srgbClr val="0F9AA9"/>
            </a:solidFill>
            <a:ln>
              <a:solidFill>
                <a:srgbClr val="FFFFFF"/>
              </a:solidFill>
            </a:ln>
          </c:spPr>
          <c:invertIfNegative val="0"/>
          <c:cat>
            <c:numRef>
              <c:f>'NS nephrops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nephrops under 300kW'!$D$97:$M$97</c:f>
              <c:numCache>
                <c:formatCode>0%</c:formatCode>
                <c:ptCount val="10"/>
                <c:pt idx="0">
                  <c:v>2.0054456675116326E-2</c:v>
                </c:pt>
                <c:pt idx="1">
                  <c:v>2.3011969737738051E-2</c:v>
                </c:pt>
                <c:pt idx="2">
                  <c:v>2.0842069134997244E-2</c:v>
                </c:pt>
                <c:pt idx="3">
                  <c:v>2.0350078598338549E-2</c:v>
                </c:pt>
                <c:pt idx="4">
                  <c:v>1.9331318118683376E-2</c:v>
                </c:pt>
                <c:pt idx="9">
                  <c:v>1.0322701010350675E-2</c:v>
                </c:pt>
              </c:numCache>
            </c:numRef>
          </c:val>
          <c:extLst>
            <c:ext xmlns:c16="http://schemas.microsoft.com/office/drawing/2014/chart" uri="{C3380CC4-5D6E-409C-BE32-E72D297353CC}">
              <c16:uniqueId val="{00000005-AD7A-44A3-8155-3A5067B98344}"/>
            </c:ext>
          </c:extLst>
        </c:ser>
        <c:ser>
          <c:idx val="6"/>
          <c:order val="6"/>
          <c:tx>
            <c:strRef>
              <c:f>'NS nephrops under 300kW'!$C$98</c:f>
              <c:strCache>
                <c:ptCount val="1"/>
                <c:pt idx="0">
                  <c:v>Sprats</c:v>
                </c:pt>
              </c:strCache>
            </c:strRef>
          </c:tx>
          <c:spPr>
            <a:solidFill>
              <a:srgbClr val="FED825"/>
            </a:solidFill>
            <a:ln>
              <a:solidFill>
                <a:srgbClr val="FFFFFF"/>
              </a:solidFill>
            </a:ln>
          </c:spPr>
          <c:invertIfNegative val="0"/>
          <c:cat>
            <c:numRef>
              <c:f>'NS nephrops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nephrops under 300kW'!$D$98:$M$98</c:f>
              <c:numCache>
                <c:formatCode>0%</c:formatCode>
                <c:ptCount val="10"/>
                <c:pt idx="7">
                  <c:v>1.6179305055900324E-2</c:v>
                </c:pt>
              </c:numCache>
            </c:numRef>
          </c:val>
          <c:extLst>
            <c:ext xmlns:c16="http://schemas.microsoft.com/office/drawing/2014/chart" uri="{C3380CC4-5D6E-409C-BE32-E72D297353CC}">
              <c16:uniqueId val="{00000006-AD7A-44A3-8155-3A5067B98344}"/>
            </c:ext>
          </c:extLst>
        </c:ser>
        <c:ser>
          <c:idx val="7"/>
          <c:order val="7"/>
          <c:tx>
            <c:strRef>
              <c:f>'NS nephrops under 300kW'!$C$99</c:f>
              <c:strCache>
                <c:ptCount val="1"/>
                <c:pt idx="0">
                  <c:v>Squid</c:v>
                </c:pt>
              </c:strCache>
            </c:strRef>
          </c:tx>
          <c:spPr>
            <a:solidFill>
              <a:srgbClr val="707271"/>
            </a:solidFill>
            <a:ln>
              <a:solidFill>
                <a:srgbClr val="FFFFFF"/>
              </a:solidFill>
            </a:ln>
          </c:spPr>
          <c:invertIfNegative val="0"/>
          <c:cat>
            <c:numRef>
              <c:f>'NS nephrops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nephrops under 300kW'!$D$99:$M$99</c:f>
              <c:numCache>
                <c:formatCode>0%</c:formatCode>
                <c:ptCount val="10"/>
                <c:pt idx="5">
                  <c:v>3.8196043988425236E-2</c:v>
                </c:pt>
                <c:pt idx="6">
                  <c:v>2.450219798189587E-2</c:v>
                </c:pt>
              </c:numCache>
            </c:numRef>
          </c:val>
          <c:extLst>
            <c:ext xmlns:c16="http://schemas.microsoft.com/office/drawing/2014/chart" uri="{C3380CC4-5D6E-409C-BE32-E72D297353CC}">
              <c16:uniqueId val="{00000007-AD7A-44A3-8155-3A5067B98344}"/>
            </c:ext>
          </c:extLst>
        </c:ser>
        <c:ser>
          <c:idx val="8"/>
          <c:order val="8"/>
          <c:tx>
            <c:strRef>
              <c:f>'NS nephrops under 300kW'!$C$100</c:f>
              <c:strCache>
                <c:ptCount val="1"/>
                <c:pt idx="0">
                  <c:v>Others</c:v>
                </c:pt>
              </c:strCache>
            </c:strRef>
          </c:tx>
          <c:spPr>
            <a:solidFill>
              <a:srgbClr val="55585A"/>
            </a:solidFill>
            <a:ln>
              <a:solidFill>
                <a:srgbClr val="FFFFFF"/>
              </a:solidFill>
            </a:ln>
          </c:spPr>
          <c:invertIfNegative val="0"/>
          <c:cat>
            <c:numRef>
              <c:f>'NS nephrops under 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 nephrops under 300kW'!$D$100:$M$100</c:f>
              <c:numCache>
                <c:formatCode>0%</c:formatCode>
                <c:ptCount val="10"/>
                <c:pt idx="0">
                  <c:v>4.6996871798854305E-2</c:v>
                </c:pt>
                <c:pt idx="1">
                  <c:v>5.0438727007105895E-2</c:v>
                </c:pt>
                <c:pt idx="2">
                  <c:v>4.4153086938656765E-2</c:v>
                </c:pt>
                <c:pt idx="3">
                  <c:v>4.3857644718257843E-2</c:v>
                </c:pt>
                <c:pt idx="4">
                  <c:v>5.5157888430812096E-2</c:v>
                </c:pt>
                <c:pt idx="5">
                  <c:v>7.3107340339232496E-2</c:v>
                </c:pt>
                <c:pt idx="6">
                  <c:v>5.2580216686667645E-2</c:v>
                </c:pt>
                <c:pt idx="7">
                  <c:v>5.916362780488936E-2</c:v>
                </c:pt>
                <c:pt idx="8">
                  <c:v>5.1489383863131247E-2</c:v>
                </c:pt>
                <c:pt idx="9">
                  <c:v>6.7405013554019802E-2</c:v>
                </c:pt>
              </c:numCache>
            </c:numRef>
          </c:val>
          <c:extLst>
            <c:ext xmlns:c16="http://schemas.microsoft.com/office/drawing/2014/chart" uri="{C3380CC4-5D6E-409C-BE32-E72D297353CC}">
              <c16:uniqueId val="{00000008-AD7A-44A3-8155-3A5067B98344}"/>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 nephrops under 300kW'!$B$162</c:f>
              <c:strCache>
                <c:ptCount val="1"/>
                <c:pt idx="0">
                  <c:v>Nephrops</c:v>
                </c:pt>
              </c:strCache>
            </c:strRef>
          </c:tx>
          <c:spPr>
            <a:solidFill>
              <a:srgbClr val="2273B9"/>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300kW'!$C$162:$E$162</c:f>
              <c:numCache>
                <c:formatCode>0%</c:formatCode>
                <c:ptCount val="3"/>
                <c:pt idx="0">
                  <c:v>0.1672513331386456</c:v>
                </c:pt>
                <c:pt idx="1">
                  <c:v>0.80748436780177613</c:v>
                </c:pt>
                <c:pt idx="2">
                  <c:v>0.59744845745054165</c:v>
                </c:pt>
              </c:numCache>
            </c:numRef>
          </c:val>
          <c:extLst>
            <c:ext xmlns:c16="http://schemas.microsoft.com/office/drawing/2014/chart" uri="{C3380CC4-5D6E-409C-BE32-E72D297353CC}">
              <c16:uniqueId val="{00000000-69AF-444F-BFF6-C00138ADE641}"/>
            </c:ext>
          </c:extLst>
        </c:ser>
        <c:ser>
          <c:idx val="1"/>
          <c:order val="1"/>
          <c:tx>
            <c:strRef>
              <c:f>'NS nephrops under 300kW'!$B$163</c:f>
              <c:strCache>
                <c:ptCount val="1"/>
                <c:pt idx="0">
                  <c:v>Haddock</c:v>
                </c:pt>
              </c:strCache>
            </c:strRef>
          </c:tx>
          <c:spPr>
            <a:solidFill>
              <a:srgbClr val="C1D119"/>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300kW'!$C$163:$E$163</c:f>
              <c:numCache>
                <c:formatCode>0%</c:formatCode>
                <c:ptCount val="3"/>
                <c:pt idx="0">
                  <c:v>0</c:v>
                </c:pt>
                <c:pt idx="1">
                  <c:v>6.0768328027289334E-2</c:v>
                </c:pt>
                <c:pt idx="2">
                  <c:v>0</c:v>
                </c:pt>
              </c:numCache>
            </c:numRef>
          </c:val>
          <c:extLst>
            <c:ext xmlns:c16="http://schemas.microsoft.com/office/drawing/2014/chart" uri="{C3380CC4-5D6E-409C-BE32-E72D297353CC}">
              <c16:uniqueId val="{00000001-69AF-444F-BFF6-C00138ADE641}"/>
            </c:ext>
          </c:extLst>
        </c:ser>
        <c:ser>
          <c:idx val="2"/>
          <c:order val="2"/>
          <c:tx>
            <c:strRef>
              <c:f>'NS nephrops under 300kW'!$B$164</c:f>
              <c:strCache>
                <c:ptCount val="1"/>
                <c:pt idx="0">
                  <c:v>Anglerfish</c:v>
                </c:pt>
              </c:strCache>
            </c:strRef>
          </c:tx>
          <c:spPr>
            <a:solidFill>
              <a:srgbClr val="E87308"/>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300kW'!$C$164:$E$164</c:f>
              <c:numCache>
                <c:formatCode>0%</c:formatCode>
                <c:ptCount val="3"/>
                <c:pt idx="0">
                  <c:v>2.7936510411147434E-3</c:v>
                </c:pt>
                <c:pt idx="1">
                  <c:v>4.2678496631919326E-2</c:v>
                </c:pt>
                <c:pt idx="2">
                  <c:v>1.5859334795763465E-2</c:v>
                </c:pt>
              </c:numCache>
            </c:numRef>
          </c:val>
          <c:extLst>
            <c:ext xmlns:c16="http://schemas.microsoft.com/office/drawing/2014/chart" uri="{C3380CC4-5D6E-409C-BE32-E72D297353CC}">
              <c16:uniqueId val="{00000002-69AF-444F-BFF6-C00138ADE641}"/>
            </c:ext>
          </c:extLst>
        </c:ser>
        <c:ser>
          <c:idx val="3"/>
          <c:order val="3"/>
          <c:tx>
            <c:strRef>
              <c:f>'NS nephrops under 300kW'!$B$165</c:f>
              <c:strCache>
                <c:ptCount val="1"/>
                <c:pt idx="0">
                  <c:v>Whiting</c:v>
                </c:pt>
              </c:strCache>
            </c:strRef>
          </c:tx>
          <c:spPr>
            <a:solidFill>
              <a:srgbClr val="0F9AA9"/>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300kW'!$C$165:$E$165</c:f>
              <c:numCache>
                <c:formatCode>0%</c:formatCode>
                <c:ptCount val="3"/>
                <c:pt idx="0">
                  <c:v>1.3450507227782185E-3</c:v>
                </c:pt>
                <c:pt idx="1">
                  <c:v>3.345494027804187E-2</c:v>
                </c:pt>
                <c:pt idx="2">
                  <c:v>4.2488677595112559E-2</c:v>
                </c:pt>
              </c:numCache>
            </c:numRef>
          </c:val>
          <c:extLst>
            <c:ext xmlns:c16="http://schemas.microsoft.com/office/drawing/2014/chart" uri="{C3380CC4-5D6E-409C-BE32-E72D297353CC}">
              <c16:uniqueId val="{00000003-69AF-444F-BFF6-C00138ADE641}"/>
            </c:ext>
          </c:extLst>
        </c:ser>
        <c:ser>
          <c:idx val="4"/>
          <c:order val="4"/>
          <c:tx>
            <c:strRef>
              <c:f>'NS nephrops under 300kW'!$B$166</c:f>
              <c:strCache>
                <c:ptCount val="1"/>
                <c:pt idx="0">
                  <c:v>Squid</c:v>
                </c:pt>
              </c:strCache>
            </c:strRef>
          </c:tx>
          <c:spPr>
            <a:solidFill>
              <a:srgbClr val="648C2E"/>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300kW'!$C$166:$E$166</c:f>
              <c:numCache>
                <c:formatCode>0%</c:formatCode>
                <c:ptCount val="3"/>
                <c:pt idx="0">
                  <c:v>1.6205379640378585E-3</c:v>
                </c:pt>
                <c:pt idx="1">
                  <c:v>2.4229729907860091E-2</c:v>
                </c:pt>
                <c:pt idx="2">
                  <c:v>2.0515677879210346E-2</c:v>
                </c:pt>
              </c:numCache>
            </c:numRef>
          </c:val>
          <c:extLst>
            <c:ext xmlns:c16="http://schemas.microsoft.com/office/drawing/2014/chart" uri="{C3380CC4-5D6E-409C-BE32-E72D297353CC}">
              <c16:uniqueId val="{00000004-69AF-444F-BFF6-C00138ADE641}"/>
            </c:ext>
          </c:extLst>
        </c:ser>
        <c:ser>
          <c:idx val="5"/>
          <c:order val="5"/>
          <c:tx>
            <c:strRef>
              <c:f>'NS nephrops under 300kW'!$B$167</c:f>
              <c:strCache>
                <c:ptCount val="1"/>
                <c:pt idx="0">
                  <c:v>Others</c:v>
                </c:pt>
              </c:strCache>
            </c:strRef>
          </c:tx>
          <c:spPr>
            <a:solidFill>
              <a:srgbClr val="55585A"/>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300kW'!$C$167:$E$167</c:f>
              <c:numCache>
                <c:formatCode>0%</c:formatCode>
                <c:ptCount val="3"/>
                <c:pt idx="0">
                  <c:v>0.82571785370704287</c:v>
                </c:pt>
                <c:pt idx="1">
                  <c:v>3.1384137353113184E-2</c:v>
                </c:pt>
                <c:pt idx="2">
                  <c:v>0.30464241990771523</c:v>
                </c:pt>
              </c:numCache>
            </c:numRef>
          </c:val>
          <c:extLst>
            <c:ext xmlns:c16="http://schemas.microsoft.com/office/drawing/2014/chart" uri="{C3380CC4-5D6E-409C-BE32-E72D297353CC}">
              <c16:uniqueId val="{00000005-69AF-444F-BFF6-C00138ADE641}"/>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 nephrops under 300kW'!$H$162</c:f>
              <c:strCache>
                <c:ptCount val="1"/>
                <c:pt idx="0">
                  <c:v>Nephrops</c:v>
                </c:pt>
              </c:strCache>
            </c:strRef>
          </c:tx>
          <c:spPr>
            <a:solidFill>
              <a:srgbClr val="2273B9"/>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300kW'!$I$162:$K$162</c:f>
              <c:numCache>
                <c:formatCode>0%</c:formatCode>
                <c:ptCount val="3"/>
                <c:pt idx="0">
                  <c:v>0.2015002389558106</c:v>
                </c:pt>
                <c:pt idx="1">
                  <c:v>0.84907120906948397</c:v>
                </c:pt>
                <c:pt idx="2">
                  <c:v>0.46734656647998796</c:v>
                </c:pt>
              </c:numCache>
            </c:numRef>
          </c:val>
          <c:extLst>
            <c:ext xmlns:c16="http://schemas.microsoft.com/office/drawing/2014/chart" uri="{C3380CC4-5D6E-409C-BE32-E72D297353CC}">
              <c16:uniqueId val="{00000000-8B81-4735-B58F-7F69FF9F9EAC}"/>
            </c:ext>
          </c:extLst>
        </c:ser>
        <c:ser>
          <c:idx val="1"/>
          <c:order val="1"/>
          <c:tx>
            <c:strRef>
              <c:f>'NS nephrops under 300kW'!$H$163</c:f>
              <c:strCache>
                <c:ptCount val="1"/>
                <c:pt idx="0">
                  <c:v>Anglerfish</c:v>
                </c:pt>
              </c:strCache>
            </c:strRef>
          </c:tx>
          <c:spPr>
            <a:solidFill>
              <a:srgbClr val="E87308"/>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300kW'!$I$163:$K$163</c:f>
              <c:numCache>
                <c:formatCode>0%</c:formatCode>
                <c:ptCount val="3"/>
                <c:pt idx="0">
                  <c:v>2.77764082106377E-3</c:v>
                </c:pt>
                <c:pt idx="1">
                  <c:v>4.7953894550400222E-2</c:v>
                </c:pt>
                <c:pt idx="2">
                  <c:v>1.4174021572542276E-2</c:v>
                </c:pt>
              </c:numCache>
            </c:numRef>
          </c:val>
          <c:extLst>
            <c:ext xmlns:c16="http://schemas.microsoft.com/office/drawing/2014/chart" uri="{C3380CC4-5D6E-409C-BE32-E72D297353CC}">
              <c16:uniqueId val="{00000001-8B81-4735-B58F-7F69FF9F9EAC}"/>
            </c:ext>
          </c:extLst>
        </c:ser>
        <c:ser>
          <c:idx val="2"/>
          <c:order val="2"/>
          <c:tx>
            <c:strRef>
              <c:f>'NS nephrops under 300kW'!$H$164</c:f>
              <c:strCache>
                <c:ptCount val="1"/>
                <c:pt idx="0">
                  <c:v>Haddock</c:v>
                </c:pt>
              </c:strCache>
            </c:strRef>
          </c:tx>
          <c:spPr>
            <a:solidFill>
              <a:srgbClr val="C1D119"/>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300kW'!$I$164:$K$164</c:f>
              <c:numCache>
                <c:formatCode>0%</c:formatCode>
                <c:ptCount val="3"/>
                <c:pt idx="0">
                  <c:v>0</c:v>
                </c:pt>
                <c:pt idx="1">
                  <c:v>3.0241904286111895E-2</c:v>
                </c:pt>
                <c:pt idx="2">
                  <c:v>0</c:v>
                </c:pt>
              </c:numCache>
            </c:numRef>
          </c:val>
          <c:extLst>
            <c:ext xmlns:c16="http://schemas.microsoft.com/office/drawing/2014/chart" uri="{C3380CC4-5D6E-409C-BE32-E72D297353CC}">
              <c16:uniqueId val="{00000002-8B81-4735-B58F-7F69FF9F9EAC}"/>
            </c:ext>
          </c:extLst>
        </c:ser>
        <c:ser>
          <c:idx val="3"/>
          <c:order val="3"/>
          <c:tx>
            <c:strRef>
              <c:f>'NS nephrops under 300kW'!$H$165</c:f>
              <c:strCache>
                <c:ptCount val="1"/>
                <c:pt idx="0">
                  <c:v>Squid</c:v>
                </c:pt>
              </c:strCache>
            </c:strRef>
          </c:tx>
          <c:spPr>
            <a:solidFill>
              <a:srgbClr val="648C2E"/>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300kW'!$I$165:$K$165</c:f>
              <c:numCache>
                <c:formatCode>0%</c:formatCode>
                <c:ptCount val="3"/>
                <c:pt idx="0">
                  <c:v>2.1218453003115393E-3</c:v>
                </c:pt>
                <c:pt idx="1">
                  <c:v>2.8229819393753571E-2</c:v>
                </c:pt>
                <c:pt idx="2">
                  <c:v>2.3258091485635665E-2</c:v>
                </c:pt>
              </c:numCache>
            </c:numRef>
          </c:val>
          <c:extLst>
            <c:ext xmlns:c16="http://schemas.microsoft.com/office/drawing/2014/chart" uri="{C3380CC4-5D6E-409C-BE32-E72D297353CC}">
              <c16:uniqueId val="{00000003-8B81-4735-B58F-7F69FF9F9EAC}"/>
            </c:ext>
          </c:extLst>
        </c:ser>
        <c:ser>
          <c:idx val="4"/>
          <c:order val="4"/>
          <c:tx>
            <c:strRef>
              <c:f>'NS nephrops under 300kW'!$H$166</c:f>
              <c:strCache>
                <c:ptCount val="1"/>
                <c:pt idx="0">
                  <c:v>Cod</c:v>
                </c:pt>
              </c:strCache>
            </c:strRef>
          </c:tx>
          <c:spPr>
            <a:solidFill>
              <a:srgbClr val="E84A38"/>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300kW'!$I$166:$K$166</c:f>
              <c:numCache>
                <c:formatCode>0%</c:formatCode>
                <c:ptCount val="3"/>
                <c:pt idx="0">
                  <c:v>0</c:v>
                </c:pt>
                <c:pt idx="1">
                  <c:v>1.9019314286059727E-2</c:v>
                </c:pt>
                <c:pt idx="2">
                  <c:v>0</c:v>
                </c:pt>
              </c:numCache>
            </c:numRef>
          </c:val>
          <c:extLst>
            <c:ext xmlns:c16="http://schemas.microsoft.com/office/drawing/2014/chart" uri="{C3380CC4-5D6E-409C-BE32-E72D297353CC}">
              <c16:uniqueId val="{00000004-8B81-4735-B58F-7F69FF9F9EAC}"/>
            </c:ext>
          </c:extLst>
        </c:ser>
        <c:ser>
          <c:idx val="5"/>
          <c:order val="5"/>
          <c:tx>
            <c:strRef>
              <c:f>'NS nephrops under 300kW'!$H$167</c:f>
              <c:strCache>
                <c:ptCount val="1"/>
                <c:pt idx="0">
                  <c:v>Whiting</c:v>
                </c:pt>
              </c:strCache>
            </c:strRef>
          </c:tx>
          <c:spPr>
            <a:solidFill>
              <a:srgbClr val="0F9AA9"/>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300kW'!$I$167:$K$167</c:f>
              <c:numCache>
                <c:formatCode>0%</c:formatCode>
                <c:ptCount val="3"/>
                <c:pt idx="0">
                  <c:v>0</c:v>
                </c:pt>
                <c:pt idx="1">
                  <c:v>0</c:v>
                </c:pt>
                <c:pt idx="2">
                  <c:v>9.7973201565961232E-3</c:v>
                </c:pt>
              </c:numCache>
            </c:numRef>
          </c:val>
          <c:extLst>
            <c:ext xmlns:c16="http://schemas.microsoft.com/office/drawing/2014/chart" uri="{C3380CC4-5D6E-409C-BE32-E72D297353CC}">
              <c16:uniqueId val="{00000005-8B81-4735-B58F-7F69FF9F9EAC}"/>
            </c:ext>
          </c:extLst>
        </c:ser>
        <c:ser>
          <c:idx val="6"/>
          <c:order val="6"/>
          <c:tx>
            <c:strRef>
              <c:f>'NS nephrops under 300kW'!$H$168</c:f>
              <c:strCache>
                <c:ptCount val="1"/>
                <c:pt idx="0">
                  <c:v>Lemon Sole</c:v>
                </c:pt>
              </c:strCache>
            </c:strRef>
          </c:tx>
          <c:spPr>
            <a:solidFill>
              <a:srgbClr val="FED825"/>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300kW'!$I$168:$K$168</c:f>
              <c:numCache>
                <c:formatCode>0%</c:formatCode>
                <c:ptCount val="3"/>
                <c:pt idx="0">
                  <c:v>5.488430762224199E-4</c:v>
                </c:pt>
                <c:pt idx="1">
                  <c:v>0</c:v>
                </c:pt>
                <c:pt idx="2">
                  <c:v>0</c:v>
                </c:pt>
              </c:numCache>
            </c:numRef>
          </c:val>
          <c:extLst>
            <c:ext xmlns:c16="http://schemas.microsoft.com/office/drawing/2014/chart" uri="{C3380CC4-5D6E-409C-BE32-E72D297353CC}">
              <c16:uniqueId val="{00000006-8B81-4735-B58F-7F69FF9F9EAC}"/>
            </c:ext>
          </c:extLst>
        </c:ser>
        <c:ser>
          <c:idx val="7"/>
          <c:order val="7"/>
          <c:tx>
            <c:strRef>
              <c:f>'NS nephrops under 300kW'!$H$169</c:f>
              <c:strCache>
                <c:ptCount val="1"/>
                <c:pt idx="0">
                  <c:v>Others</c:v>
                </c:pt>
              </c:strCache>
            </c:strRef>
          </c:tx>
          <c:spPr>
            <a:solidFill>
              <a:srgbClr val="55585A"/>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300kW'!$I$169:$K$169</c:f>
              <c:numCache>
                <c:formatCode>0%</c:formatCode>
                <c:ptCount val="3"/>
                <c:pt idx="0">
                  <c:v>0.79128377288690932</c:v>
                </c:pt>
                <c:pt idx="1">
                  <c:v>2.5483858414190652E-2</c:v>
                </c:pt>
                <c:pt idx="2">
                  <c:v>0.46922492845211128</c:v>
                </c:pt>
              </c:numCache>
            </c:numRef>
          </c:val>
          <c:extLst>
            <c:ext xmlns:c16="http://schemas.microsoft.com/office/drawing/2014/chart" uri="{C3380CC4-5D6E-409C-BE32-E72D297353CC}">
              <c16:uniqueId val="{00000007-8B81-4735-B58F-7F69FF9F9EAC}"/>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 nephrops under 300kW'!$K$139</c:f>
              <c:strCache>
                <c:ptCount val="1"/>
                <c:pt idx="0">
                  <c:v>Total income</c:v>
                </c:pt>
              </c:strCache>
            </c:strRef>
          </c:tx>
          <c:spPr>
            <a:solidFill>
              <a:srgbClr val="087CBB"/>
            </a:solidFill>
            <a:ln>
              <a:solidFill>
                <a:schemeClr val="accent1"/>
              </a:solidFill>
            </a:ln>
          </c:spPr>
          <c:invertIfNegative val="0"/>
          <c:cat>
            <c:strRef>
              <c:f>'NS nephrops under 300kW'!$L$138:$N$138</c:f>
              <c:strCache>
                <c:ptCount val="3"/>
                <c:pt idx="0">
                  <c:v>Most
profitable
quartile</c:v>
                </c:pt>
                <c:pt idx="1">
                  <c:v>Middle
two quartiles</c:v>
                </c:pt>
                <c:pt idx="2">
                  <c:v>Least
profitable
quartile</c:v>
                </c:pt>
              </c:strCache>
            </c:strRef>
          </c:cat>
          <c:val>
            <c:numRef>
              <c:f>'NS nephrops under 300kW'!$L$139:$N$139</c:f>
              <c:numCache>
                <c:formatCode>#,##0</c:formatCode>
                <c:ptCount val="3"/>
                <c:pt idx="0">
                  <c:v>302.4693125</c:v>
                </c:pt>
                <c:pt idx="1">
                  <c:v>180.88439062500001</c:v>
                </c:pt>
                <c:pt idx="2">
                  <c:v>157.78051562499999</c:v>
                </c:pt>
              </c:numCache>
            </c:numRef>
          </c:val>
          <c:extLst>
            <c:ext xmlns:c16="http://schemas.microsoft.com/office/drawing/2014/chart" uri="{C3380CC4-5D6E-409C-BE32-E72D297353CC}">
              <c16:uniqueId val="{00000000-D07F-4C3A-A618-458244536F0A}"/>
            </c:ext>
          </c:extLst>
        </c:ser>
        <c:ser>
          <c:idx val="1"/>
          <c:order val="1"/>
          <c:tx>
            <c:strRef>
              <c:f>'NS nephrops under 300kW'!$K$140</c:f>
              <c:strCache>
                <c:ptCount val="1"/>
                <c:pt idx="0">
                  <c:v>Operating costs</c:v>
                </c:pt>
              </c:strCache>
            </c:strRef>
          </c:tx>
          <c:spPr>
            <a:solidFill>
              <a:srgbClr val="E87308"/>
            </a:solidFill>
          </c:spPr>
          <c:invertIfNegative val="0"/>
          <c:cat>
            <c:strRef>
              <c:f>'NS nephrops under 300kW'!$L$138:$N$138</c:f>
              <c:strCache>
                <c:ptCount val="3"/>
                <c:pt idx="0">
                  <c:v>Most
profitable
quartile</c:v>
                </c:pt>
                <c:pt idx="1">
                  <c:v>Middle
two quartiles</c:v>
                </c:pt>
                <c:pt idx="2">
                  <c:v>Least
profitable
quartile</c:v>
                </c:pt>
              </c:strCache>
            </c:strRef>
          </c:cat>
          <c:val>
            <c:numRef>
              <c:f>'NS nephrops under 300kW'!$L$140:$N$140</c:f>
              <c:numCache>
                <c:formatCode>#,##0</c:formatCode>
                <c:ptCount val="3"/>
                <c:pt idx="0">
                  <c:v>252.824625</c:v>
                </c:pt>
                <c:pt idx="1">
                  <c:v>170.4197734375</c:v>
                </c:pt>
                <c:pt idx="2">
                  <c:v>176.90970312499999</c:v>
                </c:pt>
              </c:numCache>
            </c:numRef>
          </c:val>
          <c:extLst>
            <c:ext xmlns:c16="http://schemas.microsoft.com/office/drawing/2014/chart" uri="{C3380CC4-5D6E-409C-BE32-E72D297353CC}">
              <c16:uniqueId val="{00000001-D07F-4C3A-A618-458244536F0A}"/>
            </c:ext>
          </c:extLst>
        </c:ser>
        <c:ser>
          <c:idx val="2"/>
          <c:order val="2"/>
          <c:tx>
            <c:strRef>
              <c:f>'NS nephrops under 300kW'!$K$141</c:f>
              <c:strCache>
                <c:ptCount val="1"/>
                <c:pt idx="0">
                  <c:v>Operating profit</c:v>
                </c:pt>
              </c:strCache>
            </c:strRef>
          </c:tx>
          <c:spPr>
            <a:solidFill>
              <a:srgbClr val="51AA81"/>
            </a:solidFill>
          </c:spPr>
          <c:invertIfNegative val="0"/>
          <c:cat>
            <c:strRef>
              <c:f>'NS nephrops under 300kW'!$L$138:$N$138</c:f>
              <c:strCache>
                <c:ptCount val="3"/>
                <c:pt idx="0">
                  <c:v>Most
profitable
quartile</c:v>
                </c:pt>
                <c:pt idx="1">
                  <c:v>Middle
two quartiles</c:v>
                </c:pt>
                <c:pt idx="2">
                  <c:v>Least
profitable
quartile</c:v>
                </c:pt>
              </c:strCache>
            </c:strRef>
          </c:cat>
          <c:val>
            <c:numRef>
              <c:f>'NS nephrops under 300kW'!$L$141:$N$141</c:f>
              <c:numCache>
                <c:formatCode>#,##0</c:formatCode>
                <c:ptCount val="3"/>
                <c:pt idx="0">
                  <c:v>49.644687500000003</c:v>
                </c:pt>
                <c:pt idx="1">
                  <c:v>10.4646171875</c:v>
                </c:pt>
                <c:pt idx="2">
                  <c:v>-19.1291875</c:v>
                </c:pt>
              </c:numCache>
            </c:numRef>
          </c:val>
          <c:extLst>
            <c:ext xmlns:c16="http://schemas.microsoft.com/office/drawing/2014/chart" uri="{C3380CC4-5D6E-409C-BE32-E72D297353CC}">
              <c16:uniqueId val="{00000002-D07F-4C3A-A618-458244536F0A}"/>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 nephrops under 300kW'!$K$142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24m'!$A$48</c:f>
          <c:strCache>
            <c:ptCount val="1"/>
            <c:pt idx="0">
              <c:v>Landings per kW day at sea (kg)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D939-48CB-A77E-4AA5DE9881DB}"/>
              </c:ext>
            </c:extLst>
          </c:dPt>
          <c:dPt>
            <c:idx val="10"/>
            <c:bubble3D val="0"/>
            <c:spPr>
              <a:ln w="57150">
                <a:solidFill>
                  <a:srgbClr val="2273B9"/>
                </a:solidFill>
                <a:prstDash val="sysDot"/>
              </a:ln>
            </c:spPr>
            <c:extLst>
              <c:ext xmlns:c16="http://schemas.microsoft.com/office/drawing/2014/chart" uri="{C3380CC4-5D6E-409C-BE32-E72D297353CC}">
                <c16:uniqueId val="{00000003-D939-48CB-A77E-4AA5DE9881DB}"/>
              </c:ext>
            </c:extLst>
          </c:dPt>
          <c:cat>
            <c:numRef>
              <c:f>'NSWOS demersal over 24m'!$D$2:$N$2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'NSWOS demersal over 24m'!$D$21:$N$21</c:f>
              <c:numCache>
                <c:formatCode>#,##0.00</c:formatCode>
                <c:ptCount val="11"/>
                <c:pt idx="0">
                  <c:v>4.1987933477858812</c:v>
                </c:pt>
                <c:pt idx="1">
                  <c:v>4.9229078935666379</c:v>
                </c:pt>
                <c:pt idx="2">
                  <c:v>6.5218807494104132</c:v>
                </c:pt>
                <c:pt idx="3">
                  <c:v>5.9072705216827153</c:v>
                </c:pt>
                <c:pt idx="4">
                  <c:v>5.6670269523047017</c:v>
                </c:pt>
                <c:pt idx="5">
                  <c:v>6.1898789476587153</c:v>
                </c:pt>
                <c:pt idx="6">
                  <c:v>6.4508966756131105</c:v>
                </c:pt>
                <c:pt idx="7">
                  <c:v>5.9475518317611984</c:v>
                </c:pt>
                <c:pt idx="8">
                  <c:v>5.9371070047913292</c:v>
                </c:pt>
                <c:pt idx="9">
                  <c:v>5.2905801769286063</c:v>
                </c:pt>
                <c:pt idx="10">
                  <c:v>5.2577495762151099</c:v>
                </c:pt>
              </c:numCache>
            </c:numRef>
          </c:val>
          <c:smooth val="0"/>
          <c:extLst>
            <c:ext xmlns:c16="http://schemas.microsoft.com/office/drawing/2014/chart" uri="{C3380CC4-5D6E-409C-BE32-E72D297353CC}">
              <c16:uniqueId val="{00000004-D939-48CB-A77E-4AA5DE9881DB}"/>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24m'!$A$49</c:f>
          <c:strCache>
            <c:ptCount val="1"/>
            <c:pt idx="0">
              <c:v>Fishing income per kW day at sea (£)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8F4D-4543-91F2-A9D6C973730F}"/>
              </c:ext>
            </c:extLst>
          </c:dPt>
          <c:dPt>
            <c:idx val="10"/>
            <c:bubble3D val="0"/>
            <c:spPr>
              <a:ln w="57150">
                <a:solidFill>
                  <a:srgbClr val="648C2E"/>
                </a:solidFill>
                <a:prstDash val="sysDot"/>
              </a:ln>
            </c:spPr>
            <c:extLst>
              <c:ext xmlns:c16="http://schemas.microsoft.com/office/drawing/2014/chart" uri="{C3380CC4-5D6E-409C-BE32-E72D297353CC}">
                <c16:uniqueId val="{00000003-8F4D-4543-91F2-A9D6C973730F}"/>
              </c:ext>
            </c:extLst>
          </c:dPt>
          <c:cat>
            <c:numRef>
              <c:f>'NSWOS demersal over 24m'!$D$2:$N$2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'NSWOS demersal over 24m'!$D$22:$N$22</c:f>
              <c:numCache>
                <c:formatCode>#,##0.00</c:formatCode>
                <c:ptCount val="11"/>
                <c:pt idx="0">
                  <c:v>8.8313984239019199</c:v>
                </c:pt>
                <c:pt idx="1">
                  <c:v>8.9831567532620191</c:v>
                </c:pt>
                <c:pt idx="2">
                  <c:v>10.7344829251417</c:v>
                </c:pt>
                <c:pt idx="3">
                  <c:v>10.650139181438901</c:v>
                </c:pt>
                <c:pt idx="4">
                  <c:v>9.9333446280517794</c:v>
                </c:pt>
                <c:pt idx="5">
                  <c:v>11.864748037795099</c:v>
                </c:pt>
                <c:pt idx="6">
                  <c:v>13.4292718694494</c:v>
                </c:pt>
                <c:pt idx="7">
                  <c:v>12.602310396521901</c:v>
                </c:pt>
                <c:pt idx="8">
                  <c:v>12.4128354825054</c:v>
                </c:pt>
                <c:pt idx="9">
                  <c:v>9.5153490013185191</c:v>
                </c:pt>
                <c:pt idx="10">
                  <c:v>9.5929909953760042</c:v>
                </c:pt>
              </c:numCache>
            </c:numRef>
          </c:val>
          <c:smooth val="0"/>
          <c:extLst>
            <c:ext xmlns:c16="http://schemas.microsoft.com/office/drawing/2014/chart" uri="{C3380CC4-5D6E-409C-BE32-E72D297353CC}">
              <c16:uniqueId val="{00000004-8F4D-4543-91F2-A9D6C973730F}"/>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24m'!$B$62</c:f>
          <c:strCache>
            <c:ptCount val="1"/>
            <c:pt idx="0">
              <c:v>Total cost per kW day at sea (£)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D37A-425A-B9AC-BF25E3152518}"/>
              </c:ext>
            </c:extLst>
          </c:dPt>
          <c:dPt>
            <c:idx val="10"/>
            <c:bubble3D val="0"/>
            <c:spPr>
              <a:ln w="57150">
                <a:solidFill>
                  <a:srgbClr val="087CBB"/>
                </a:solidFill>
                <a:prstDash val="sysDot"/>
              </a:ln>
            </c:spPr>
            <c:extLst>
              <c:ext xmlns:c16="http://schemas.microsoft.com/office/drawing/2014/chart" uri="{C3380CC4-5D6E-409C-BE32-E72D297353CC}">
                <c16:uniqueId val="{00000003-D37A-425A-B9AC-BF25E3152518}"/>
              </c:ext>
            </c:extLst>
          </c:dPt>
          <c:cat>
            <c:numRef>
              <c:f>'NSWOS demersal over 24m'!$D$2:$N$2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'NSWOS demersal over 24m'!$D$23:$N$23</c:f>
              <c:numCache>
                <c:formatCode>#,##0.00</c:formatCode>
                <c:ptCount val="11"/>
                <c:pt idx="0">
                  <c:v>8.36255870260098</c:v>
                </c:pt>
                <c:pt idx="1">
                  <c:v>8.9322021461686596</c:v>
                </c:pt>
                <c:pt idx="2">
                  <c:v>10.1803796867096</c:v>
                </c:pt>
                <c:pt idx="3">
                  <c:v>9.8210253601470896</c:v>
                </c:pt>
                <c:pt idx="4">
                  <c:v>8.8859814705706004</c:v>
                </c:pt>
                <c:pt idx="5">
                  <c:v>10.152252735670899</c:v>
                </c:pt>
                <c:pt idx="6">
                  <c:v>11.5847824177166</c:v>
                </c:pt>
                <c:pt idx="7">
                  <c:v>10.6969224166555</c:v>
                </c:pt>
                <c:pt idx="8">
                  <c:v>11.002373552861901</c:v>
                </c:pt>
                <c:pt idx="9">
                  <c:v>8.8575004086643503</c:v>
                </c:pt>
                <c:pt idx="10">
                  <c:v>9.0344857203255113</c:v>
                </c:pt>
              </c:numCache>
            </c:numRef>
          </c:val>
          <c:smooth val="0"/>
          <c:extLst>
            <c:ext xmlns:c16="http://schemas.microsoft.com/office/drawing/2014/chart" uri="{C3380CC4-5D6E-409C-BE32-E72D297353CC}">
              <c16:uniqueId val="{00000004-D37A-425A-B9AC-BF25E3152518}"/>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o250kW'!$K$48</c:f>
          <c:strCache>
            <c:ptCount val="1"/>
            <c:pt idx="0">
              <c:v>Operating profit per kW day at sea (£)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81FC-414A-A8F8-A8B5F4273DA8}"/>
              </c:ext>
            </c:extLst>
          </c:dPt>
          <c:dPt>
            <c:idx val="10"/>
            <c:bubble3D val="0"/>
            <c:spPr>
              <a:ln w="57150">
                <a:solidFill>
                  <a:schemeClr val="accent3"/>
                </a:solidFill>
                <a:prstDash val="sysDot"/>
              </a:ln>
            </c:spPr>
            <c:extLst>
              <c:ext xmlns:c16="http://schemas.microsoft.com/office/drawing/2014/chart" uri="{C3380CC4-5D6E-409C-BE32-E72D297353CC}">
                <c16:uniqueId val="{00000003-81FC-414A-A8F8-A8B5F4273DA8}"/>
              </c:ext>
            </c:extLst>
          </c:dPt>
          <c:cat>
            <c:numRef>
              <c:f>'Area VIIa nephrops o250kW'!$D$2:$N$2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'Area VIIa nephrops o250kW'!$D$24:$N$24</c:f>
              <c:numCache>
                <c:formatCode>#,##0.00</c:formatCode>
                <c:ptCount val="11"/>
                <c:pt idx="0">
                  <c:v>1.15087338622783</c:v>
                </c:pt>
                <c:pt idx="1">
                  <c:v>1.65872746812129</c:v>
                </c:pt>
                <c:pt idx="2">
                  <c:v>0.98994492069710005</c:v>
                </c:pt>
                <c:pt idx="3">
                  <c:v>0.88381473364266905</c:v>
                </c:pt>
                <c:pt idx="4">
                  <c:v>1.48033532768586</c:v>
                </c:pt>
                <c:pt idx="5">
                  <c:v>1.73982669148587</c:v>
                </c:pt>
                <c:pt idx="6">
                  <c:v>1.5559570700207199</c:v>
                </c:pt>
                <c:pt idx="7">
                  <c:v>1.02597199269499</c:v>
                </c:pt>
                <c:pt idx="8">
                  <c:v>1.9528979260610699</c:v>
                </c:pt>
                <c:pt idx="9">
                  <c:v>1.07504968886237</c:v>
                </c:pt>
                <c:pt idx="10">
                  <c:v>0.68749560816923605</c:v>
                </c:pt>
              </c:numCache>
            </c:numRef>
          </c:val>
          <c:smooth val="0"/>
          <c:extLst>
            <c:ext xmlns:c16="http://schemas.microsoft.com/office/drawing/2014/chart" uri="{C3380CC4-5D6E-409C-BE32-E72D297353CC}">
              <c16:uniqueId val="{00000004-81FC-414A-A8F8-A8B5F4273DA8}"/>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24m'!$K$48</c:f>
          <c:strCache>
            <c:ptCount val="1"/>
            <c:pt idx="0">
              <c:v>Operating profit per kW day at sea (£)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7AE8-41DB-9153-03A458E74CC6}"/>
              </c:ext>
            </c:extLst>
          </c:dPt>
          <c:dPt>
            <c:idx val="10"/>
            <c:bubble3D val="0"/>
            <c:spPr>
              <a:ln w="57150">
                <a:solidFill>
                  <a:schemeClr val="accent3"/>
                </a:solidFill>
                <a:prstDash val="sysDot"/>
              </a:ln>
            </c:spPr>
            <c:extLst>
              <c:ext xmlns:c16="http://schemas.microsoft.com/office/drawing/2014/chart" uri="{C3380CC4-5D6E-409C-BE32-E72D297353CC}">
                <c16:uniqueId val="{00000003-7AE8-41DB-9153-03A458E74CC6}"/>
              </c:ext>
            </c:extLst>
          </c:dPt>
          <c:cat>
            <c:numRef>
              <c:f>'NSWOS demersal over 24m'!$D$2:$N$2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'NSWOS demersal over 24m'!$D$24:$N$24</c:f>
              <c:numCache>
                <c:formatCode>#,##0.00</c:formatCode>
                <c:ptCount val="11"/>
                <c:pt idx="0">
                  <c:v>0.68198726377193097</c:v>
                </c:pt>
                <c:pt idx="1">
                  <c:v>0.52767463138313198</c:v>
                </c:pt>
                <c:pt idx="2">
                  <c:v>0.892073274998753</c:v>
                </c:pt>
                <c:pt idx="3">
                  <c:v>1.4178579345348601</c:v>
                </c:pt>
                <c:pt idx="4">
                  <c:v>1.3876631914958599</c:v>
                </c:pt>
                <c:pt idx="5">
                  <c:v>2.2131562756138501</c:v>
                </c:pt>
                <c:pt idx="6">
                  <c:v>2.3180837391151199</c:v>
                </c:pt>
                <c:pt idx="7">
                  <c:v>2.1158070081103899</c:v>
                </c:pt>
                <c:pt idx="8">
                  <c:v>2.1124281199341302</c:v>
                </c:pt>
                <c:pt idx="9">
                  <c:v>1.1636585438126399</c:v>
                </c:pt>
                <c:pt idx="10">
                  <c:v>1.0559548827302716</c:v>
                </c:pt>
              </c:numCache>
            </c:numRef>
          </c:val>
          <c:smooth val="0"/>
          <c:extLst>
            <c:ext xmlns:c16="http://schemas.microsoft.com/office/drawing/2014/chart" uri="{C3380CC4-5D6E-409C-BE32-E72D297353CC}">
              <c16:uniqueId val="{00000004-7AE8-41DB-9153-03A458E74CC6}"/>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24m'!$A$50</c:f>
          <c:strCache>
            <c:ptCount val="1"/>
            <c:pt idx="0">
              <c:v>Average price per tonne landed (£)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3322-48B9-9466-C1157D4E7538}"/>
              </c:ext>
            </c:extLst>
          </c:dPt>
          <c:dPt>
            <c:idx val="10"/>
            <c:bubble3D val="0"/>
            <c:spPr>
              <a:ln w="57150">
                <a:solidFill>
                  <a:schemeClr val="accent4"/>
                </a:solidFill>
                <a:prstDash val="sysDot"/>
              </a:ln>
            </c:spPr>
            <c:extLst>
              <c:ext xmlns:c16="http://schemas.microsoft.com/office/drawing/2014/chart" uri="{C3380CC4-5D6E-409C-BE32-E72D297353CC}">
                <c16:uniqueId val="{00000003-3322-48B9-9466-C1157D4E7538}"/>
              </c:ext>
            </c:extLst>
          </c:dPt>
          <c:cat>
            <c:numRef>
              <c:f>'NSWOS demersal over 24m'!$D$2:$M$2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over 24m'!$D$20:$N$20</c:f>
              <c:numCache>
                <c:formatCode>#,##0</c:formatCode>
                <c:ptCount val="11"/>
                <c:pt idx="0">
                  <c:v>2103</c:v>
                </c:pt>
                <c:pt idx="1">
                  <c:v>1825</c:v>
                </c:pt>
                <c:pt idx="2">
                  <c:v>1646</c:v>
                </c:pt>
                <c:pt idx="3">
                  <c:v>1803</c:v>
                </c:pt>
                <c:pt idx="4">
                  <c:v>1753</c:v>
                </c:pt>
                <c:pt idx="5">
                  <c:v>1917</c:v>
                </c:pt>
                <c:pt idx="6">
                  <c:v>2082</c:v>
                </c:pt>
                <c:pt idx="7">
                  <c:v>2119</c:v>
                </c:pt>
                <c:pt idx="8">
                  <c:v>2091</c:v>
                </c:pt>
                <c:pt idx="9">
                  <c:v>1799</c:v>
                </c:pt>
                <c:pt idx="10">
                  <c:v>1825</c:v>
                </c:pt>
              </c:numCache>
            </c:numRef>
          </c:val>
          <c:smooth val="0"/>
          <c:extLst>
            <c:ext xmlns:c16="http://schemas.microsoft.com/office/drawing/2014/chart" uri="{C3380CC4-5D6E-409C-BE32-E72D297353CC}">
              <c16:uniqueId val="{00000004-3322-48B9-9466-C1157D4E7538}"/>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24m'!$K$62</c:f>
          <c:strCache>
            <c:ptCount val="1"/>
            <c:pt idx="0">
              <c:v>Average annual operating profit per vessel (£'000)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1331-44A9-8A6D-73A84DB878FE}"/>
              </c:ext>
            </c:extLst>
          </c:dPt>
          <c:dPt>
            <c:idx val="10"/>
            <c:bubble3D val="0"/>
            <c:spPr>
              <a:ln w="57150">
                <a:solidFill>
                  <a:schemeClr val="accent5"/>
                </a:solidFill>
                <a:prstDash val="sysDot"/>
              </a:ln>
            </c:spPr>
            <c:extLst>
              <c:ext xmlns:c16="http://schemas.microsoft.com/office/drawing/2014/chart" uri="{C3380CC4-5D6E-409C-BE32-E72D297353CC}">
                <c16:uniqueId val="{00000003-1331-44A9-8A6D-73A84DB878FE}"/>
              </c:ext>
            </c:extLst>
          </c:dPt>
          <c:cat>
            <c:numRef>
              <c:f>'NSWOS demersal over 24m'!$D$2:$M$2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over 24m'!$D$37:$N$37</c:f>
              <c:numCache>
                <c:formatCode>#,##0.0</c:formatCode>
                <c:ptCount val="11"/>
                <c:pt idx="0">
                  <c:v>141.9</c:v>
                </c:pt>
                <c:pt idx="1">
                  <c:v>97</c:v>
                </c:pt>
                <c:pt idx="2">
                  <c:v>140.9</c:v>
                </c:pt>
                <c:pt idx="3">
                  <c:v>267.39999999999998</c:v>
                </c:pt>
                <c:pt idx="4">
                  <c:v>249.2</c:v>
                </c:pt>
                <c:pt idx="5">
                  <c:v>404.4</c:v>
                </c:pt>
                <c:pt idx="6">
                  <c:v>398.7</c:v>
                </c:pt>
                <c:pt idx="7">
                  <c:v>403.1</c:v>
                </c:pt>
                <c:pt idx="8">
                  <c:v>391.1</c:v>
                </c:pt>
                <c:pt idx="9">
                  <c:v>185.3</c:v>
                </c:pt>
                <c:pt idx="10">
                  <c:v>185.8</c:v>
                </c:pt>
              </c:numCache>
            </c:numRef>
          </c:val>
          <c:smooth val="0"/>
          <c:extLst>
            <c:ext xmlns:c16="http://schemas.microsoft.com/office/drawing/2014/chart" uri="{C3380CC4-5D6E-409C-BE32-E72D297353CC}">
              <c16:uniqueId val="{00000004-1331-44A9-8A6D-73A84DB878FE}"/>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over 24m'!$A$76</c:f>
          <c:strCache>
            <c:ptCount val="1"/>
            <c:pt idx="0">
              <c:v>Top 5 landed species by volume in 2020
NSWOS demersal over 24m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32C5-493F-A0B2-315AFE1A2073}"/>
              </c:ext>
            </c:extLst>
          </c:dPt>
          <c:dPt>
            <c:idx val="1"/>
            <c:bubble3D val="0"/>
            <c:spPr>
              <a:solidFill>
                <a:srgbClr val="C1D119"/>
              </a:solidFill>
              <a:ln>
                <a:solidFill>
                  <a:srgbClr val="FFFFFF"/>
                </a:solidFill>
              </a:ln>
            </c:spPr>
            <c:extLst>
              <c:ext xmlns:c16="http://schemas.microsoft.com/office/drawing/2014/chart" uri="{C3380CC4-5D6E-409C-BE32-E72D297353CC}">
                <c16:uniqueId val="{00000003-32C5-493F-A0B2-315AFE1A2073}"/>
              </c:ext>
            </c:extLst>
          </c:dPt>
          <c:dPt>
            <c:idx val="2"/>
            <c:bubble3D val="0"/>
            <c:spPr>
              <a:solidFill>
                <a:srgbClr val="648C2E"/>
              </a:solidFill>
              <a:ln>
                <a:solidFill>
                  <a:srgbClr val="FFFFFF"/>
                </a:solidFill>
              </a:ln>
            </c:spPr>
            <c:extLst>
              <c:ext xmlns:c16="http://schemas.microsoft.com/office/drawing/2014/chart" uri="{C3380CC4-5D6E-409C-BE32-E72D297353CC}">
                <c16:uniqueId val="{00000005-32C5-493F-A0B2-315AFE1A2073}"/>
              </c:ext>
            </c:extLst>
          </c:dPt>
          <c:dPt>
            <c:idx val="3"/>
            <c:bubble3D val="0"/>
            <c:spPr>
              <a:solidFill>
                <a:srgbClr val="E87308"/>
              </a:solidFill>
              <a:ln>
                <a:solidFill>
                  <a:srgbClr val="FFFFFF"/>
                </a:solidFill>
              </a:ln>
            </c:spPr>
            <c:extLst>
              <c:ext xmlns:c16="http://schemas.microsoft.com/office/drawing/2014/chart" uri="{C3380CC4-5D6E-409C-BE32-E72D297353CC}">
                <c16:uniqueId val="{00000007-32C5-493F-A0B2-315AFE1A2073}"/>
              </c:ext>
            </c:extLst>
          </c:dPt>
          <c:dPt>
            <c:idx val="4"/>
            <c:bubble3D val="0"/>
            <c:spPr>
              <a:solidFill>
                <a:srgbClr val="E84A38"/>
              </a:solidFill>
              <a:ln>
                <a:solidFill>
                  <a:srgbClr val="FFFFFF"/>
                </a:solidFill>
              </a:ln>
            </c:spPr>
            <c:extLst>
              <c:ext xmlns:c16="http://schemas.microsoft.com/office/drawing/2014/chart" uri="{C3380CC4-5D6E-409C-BE32-E72D297353CC}">
                <c16:uniqueId val="{00000009-32C5-493F-A0B2-315AFE1A2073}"/>
              </c:ext>
            </c:extLst>
          </c:dPt>
          <c:dPt>
            <c:idx val="5"/>
            <c:bubble3D val="0"/>
            <c:spPr>
              <a:solidFill>
                <a:srgbClr val="55585A"/>
              </a:solidFill>
              <a:ln>
                <a:solidFill>
                  <a:srgbClr val="FFFFFF"/>
                </a:solidFill>
              </a:ln>
            </c:spPr>
            <c:extLst>
              <c:ext xmlns:c16="http://schemas.microsoft.com/office/drawing/2014/chart" uri="{C3380CC4-5D6E-409C-BE32-E72D297353CC}">
                <c16:uniqueId val="{0000000B-32C5-493F-A0B2-315AFE1A2073}"/>
              </c:ext>
            </c:extLst>
          </c:dPt>
          <c:cat>
            <c:strRef>
              <c:f>'NSWOS demersal over 24m'!$B$77:$B$82</c:f>
              <c:strCache>
                <c:ptCount val="6"/>
                <c:pt idx="0">
                  <c:v>Haddock - 26.4%</c:v>
                </c:pt>
                <c:pt idx="1">
                  <c:v>Saithe - 14.8%</c:v>
                </c:pt>
                <c:pt idx="2">
                  <c:v>Cod - 12.2%</c:v>
                </c:pt>
                <c:pt idx="3">
                  <c:v>Anglerfish - 11.9%</c:v>
                </c:pt>
                <c:pt idx="4">
                  <c:v>Whiting - 7.7%</c:v>
                </c:pt>
                <c:pt idx="5">
                  <c:v>Others - 27.1%</c:v>
                </c:pt>
              </c:strCache>
            </c:strRef>
          </c:cat>
          <c:val>
            <c:numRef>
              <c:f>'NSWOS demersal over 24m'!$C$77:$C$82</c:f>
              <c:numCache>
                <c:formatCode>0.0%</c:formatCode>
                <c:ptCount val="6"/>
                <c:pt idx="0">
                  <c:v>0.26356899999253641</c:v>
                </c:pt>
                <c:pt idx="1">
                  <c:v>0.14756276890174438</c:v>
                </c:pt>
                <c:pt idx="2">
                  <c:v>0.12165329494327322</c:v>
                </c:pt>
                <c:pt idx="3">
                  <c:v>0.11932084830860054</c:v>
                </c:pt>
                <c:pt idx="4">
                  <c:v>7.6999186863063465E-2</c:v>
                </c:pt>
                <c:pt idx="5">
                  <c:v>0.27089490099078184</c:v>
                </c:pt>
              </c:numCache>
            </c:numRef>
          </c:val>
          <c:extLst>
            <c:ext xmlns:c16="http://schemas.microsoft.com/office/drawing/2014/chart" uri="{C3380CC4-5D6E-409C-BE32-E72D297353CC}">
              <c16:uniqueId val="{0000000C-32C5-493F-A0B2-315AFE1A2073}"/>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over 24m'!$F$76</c:f>
          <c:strCache>
            <c:ptCount val="1"/>
            <c:pt idx="0">
              <c:v>Top 5 landed species by value in 2020
NSWOS demersal over 24m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98EE-4F44-A928-2DF601BF030E}"/>
              </c:ext>
            </c:extLst>
          </c:dPt>
          <c:dPt>
            <c:idx val="1"/>
            <c:bubble3D val="0"/>
            <c:spPr>
              <a:solidFill>
                <a:srgbClr val="E87308"/>
              </a:solidFill>
              <a:ln>
                <a:solidFill>
                  <a:srgbClr val="FFFFFF"/>
                </a:solidFill>
              </a:ln>
            </c:spPr>
            <c:extLst>
              <c:ext xmlns:c16="http://schemas.microsoft.com/office/drawing/2014/chart" uri="{C3380CC4-5D6E-409C-BE32-E72D297353CC}">
                <c16:uniqueId val="{00000003-98EE-4F44-A928-2DF601BF030E}"/>
              </c:ext>
            </c:extLst>
          </c:dPt>
          <c:dPt>
            <c:idx val="2"/>
            <c:bubble3D val="0"/>
            <c:spPr>
              <a:solidFill>
                <a:srgbClr val="648C2E"/>
              </a:solidFill>
              <a:ln>
                <a:solidFill>
                  <a:srgbClr val="FFFFFF"/>
                </a:solidFill>
              </a:ln>
            </c:spPr>
            <c:extLst>
              <c:ext xmlns:c16="http://schemas.microsoft.com/office/drawing/2014/chart" uri="{C3380CC4-5D6E-409C-BE32-E72D297353CC}">
                <c16:uniqueId val="{00000005-98EE-4F44-A928-2DF601BF030E}"/>
              </c:ext>
            </c:extLst>
          </c:dPt>
          <c:dPt>
            <c:idx val="3"/>
            <c:bubble3D val="0"/>
            <c:spPr>
              <a:solidFill>
                <a:srgbClr val="C1D119"/>
              </a:solidFill>
              <a:ln>
                <a:solidFill>
                  <a:srgbClr val="FFFFFF"/>
                </a:solidFill>
              </a:ln>
            </c:spPr>
            <c:extLst>
              <c:ext xmlns:c16="http://schemas.microsoft.com/office/drawing/2014/chart" uri="{C3380CC4-5D6E-409C-BE32-E72D297353CC}">
                <c16:uniqueId val="{00000007-98EE-4F44-A928-2DF601BF030E}"/>
              </c:ext>
            </c:extLst>
          </c:dPt>
          <c:dPt>
            <c:idx val="4"/>
            <c:bubble3D val="0"/>
            <c:spPr>
              <a:solidFill>
                <a:srgbClr val="E84A38"/>
              </a:solidFill>
              <a:ln>
                <a:solidFill>
                  <a:srgbClr val="FFFFFF"/>
                </a:solidFill>
              </a:ln>
            </c:spPr>
            <c:extLst>
              <c:ext xmlns:c16="http://schemas.microsoft.com/office/drawing/2014/chart" uri="{C3380CC4-5D6E-409C-BE32-E72D297353CC}">
                <c16:uniqueId val="{00000009-98EE-4F44-A928-2DF601BF030E}"/>
              </c:ext>
            </c:extLst>
          </c:dPt>
          <c:dPt>
            <c:idx val="5"/>
            <c:bubble3D val="0"/>
            <c:spPr>
              <a:solidFill>
                <a:srgbClr val="55585A"/>
              </a:solidFill>
              <a:ln>
                <a:solidFill>
                  <a:srgbClr val="FFFFFF"/>
                </a:solidFill>
              </a:ln>
            </c:spPr>
            <c:extLst>
              <c:ext xmlns:c16="http://schemas.microsoft.com/office/drawing/2014/chart" uri="{C3380CC4-5D6E-409C-BE32-E72D297353CC}">
                <c16:uniqueId val="{0000000B-98EE-4F44-A928-2DF601BF030E}"/>
              </c:ext>
            </c:extLst>
          </c:dPt>
          <c:cat>
            <c:strRef>
              <c:f>'NSWOS demersal over 24m'!$G$77:$G$82</c:f>
              <c:strCache>
                <c:ptCount val="6"/>
                <c:pt idx="0">
                  <c:v>Haddock - 21.7%</c:v>
                </c:pt>
                <c:pt idx="1">
                  <c:v>Anglerfish - 18.5%</c:v>
                </c:pt>
                <c:pt idx="2">
                  <c:v>Cod - 17.9%</c:v>
                </c:pt>
                <c:pt idx="3">
                  <c:v>Saithe - 7.8%</c:v>
                </c:pt>
                <c:pt idx="4">
                  <c:v>Whiting - 5.3%</c:v>
                </c:pt>
                <c:pt idx="5">
                  <c:v>Others - 28.8%</c:v>
                </c:pt>
              </c:strCache>
            </c:strRef>
          </c:cat>
          <c:val>
            <c:numRef>
              <c:f>'NSWOS demersal over 24m'!$H$77:$H$82</c:f>
              <c:numCache>
                <c:formatCode>0.0%</c:formatCode>
                <c:ptCount val="6"/>
                <c:pt idx="0">
                  <c:v>0.21748688995682705</c:v>
                </c:pt>
                <c:pt idx="1">
                  <c:v>0.18492782074137928</c:v>
                </c:pt>
                <c:pt idx="2">
                  <c:v>0.17851712029910802</c:v>
                </c:pt>
                <c:pt idx="3">
                  <c:v>7.7951145899252977E-2</c:v>
                </c:pt>
                <c:pt idx="4">
                  <c:v>5.3389125695774829E-2</c:v>
                </c:pt>
                <c:pt idx="5">
                  <c:v>0.28772789740765781</c:v>
                </c:pt>
              </c:numCache>
            </c:numRef>
          </c:val>
          <c:extLst>
            <c:ext xmlns:c16="http://schemas.microsoft.com/office/drawing/2014/chart" uri="{C3380CC4-5D6E-409C-BE32-E72D297353CC}">
              <c16:uniqueId val="{0000000C-98EE-4F44-A928-2DF601BF030E}"/>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over 24m'!$K$77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demersal over 24m'!$C$92</c:f>
              <c:strCache>
                <c:ptCount val="1"/>
                <c:pt idx="0">
                  <c:v>Haddock</c:v>
                </c:pt>
              </c:strCache>
            </c:strRef>
          </c:tx>
          <c:spPr>
            <a:solidFill>
              <a:srgbClr val="2273B9"/>
            </a:solidFill>
            <a:ln>
              <a:solidFill>
                <a:srgbClr val="FFFFFF"/>
              </a:solidFill>
            </a:ln>
          </c:spPr>
          <c:invertIfNegative val="0"/>
          <c:cat>
            <c:numRef>
              <c:f>'NSWOS demersal over 24m'!$D$91:$M$91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over 24m'!$D$92:$M$92</c:f>
              <c:numCache>
                <c:formatCode>0%</c:formatCode>
                <c:ptCount val="10"/>
                <c:pt idx="0">
                  <c:v>0.19798689766772579</c:v>
                </c:pt>
                <c:pt idx="1">
                  <c:v>0.24304332353727076</c:v>
                </c:pt>
                <c:pt idx="2">
                  <c:v>0.24994934063747604</c:v>
                </c:pt>
                <c:pt idx="3">
                  <c:v>0.23322583392535906</c:v>
                </c:pt>
                <c:pt idx="4">
                  <c:v>0.20905459721103339</c:v>
                </c:pt>
                <c:pt idx="5">
                  <c:v>0.22255857074776644</c:v>
                </c:pt>
                <c:pt idx="6">
                  <c:v>0.21072709084445845</c:v>
                </c:pt>
                <c:pt idx="7">
                  <c:v>0.23589849400298102</c:v>
                </c:pt>
                <c:pt idx="8">
                  <c:v>0.21748688995682705</c:v>
                </c:pt>
                <c:pt idx="9">
                  <c:v>0.23499235950133979</c:v>
                </c:pt>
              </c:numCache>
            </c:numRef>
          </c:val>
          <c:extLst>
            <c:ext xmlns:c16="http://schemas.microsoft.com/office/drawing/2014/chart" uri="{C3380CC4-5D6E-409C-BE32-E72D297353CC}">
              <c16:uniqueId val="{00000000-63FB-4D2F-A62C-563D5155F654}"/>
            </c:ext>
          </c:extLst>
        </c:ser>
        <c:ser>
          <c:idx val="1"/>
          <c:order val="1"/>
          <c:tx>
            <c:strRef>
              <c:f>'NSWOS demersal over 24m'!$C$93</c:f>
              <c:strCache>
                <c:ptCount val="1"/>
                <c:pt idx="0">
                  <c:v>Anglerfish</c:v>
                </c:pt>
              </c:strCache>
            </c:strRef>
          </c:tx>
          <c:spPr>
            <a:solidFill>
              <a:srgbClr val="E87308"/>
            </a:solidFill>
            <a:ln>
              <a:solidFill>
                <a:srgbClr val="FFFFFF"/>
              </a:solidFill>
            </a:ln>
          </c:spPr>
          <c:invertIfNegative val="0"/>
          <c:cat>
            <c:numRef>
              <c:f>'NSWOS demersal over 24m'!$D$91:$M$91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over 24m'!$D$93:$M$93</c:f>
              <c:numCache>
                <c:formatCode>0%</c:formatCode>
                <c:ptCount val="10"/>
                <c:pt idx="0">
                  <c:v>0.13380629787140297</c:v>
                </c:pt>
                <c:pt idx="1">
                  <c:v>0.10616418440418927</c:v>
                </c:pt>
                <c:pt idx="2">
                  <c:v>0.13414287616751405</c:v>
                </c:pt>
                <c:pt idx="3">
                  <c:v>0.14639623999862306</c:v>
                </c:pt>
                <c:pt idx="4">
                  <c:v>0.16599606278083104</c:v>
                </c:pt>
                <c:pt idx="5">
                  <c:v>0.16952531131681894</c:v>
                </c:pt>
                <c:pt idx="6">
                  <c:v>0.16472339753043957</c:v>
                </c:pt>
                <c:pt idx="7">
                  <c:v>0.14478823191880583</c:v>
                </c:pt>
                <c:pt idx="8">
                  <c:v>0.18492782074137928</c:v>
                </c:pt>
                <c:pt idx="9">
                  <c:v>0.22138412481663017</c:v>
                </c:pt>
              </c:numCache>
            </c:numRef>
          </c:val>
          <c:extLst>
            <c:ext xmlns:c16="http://schemas.microsoft.com/office/drawing/2014/chart" uri="{C3380CC4-5D6E-409C-BE32-E72D297353CC}">
              <c16:uniqueId val="{00000001-63FB-4D2F-A62C-563D5155F654}"/>
            </c:ext>
          </c:extLst>
        </c:ser>
        <c:ser>
          <c:idx val="2"/>
          <c:order val="2"/>
          <c:tx>
            <c:strRef>
              <c:f>'NSWOS demersal over 24m'!$C$94</c:f>
              <c:strCache>
                <c:ptCount val="1"/>
                <c:pt idx="0">
                  <c:v>Cod</c:v>
                </c:pt>
              </c:strCache>
            </c:strRef>
          </c:tx>
          <c:spPr>
            <a:solidFill>
              <a:srgbClr val="648C2E"/>
            </a:solidFill>
            <a:ln>
              <a:solidFill>
                <a:srgbClr val="FFFFFF"/>
              </a:solidFill>
            </a:ln>
          </c:spPr>
          <c:invertIfNegative val="0"/>
          <c:cat>
            <c:numRef>
              <c:f>'NSWOS demersal over 24m'!$D$91:$M$91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over 24m'!$D$94:$M$94</c:f>
              <c:numCache>
                <c:formatCode>0%</c:formatCode>
                <c:ptCount val="10"/>
                <c:pt idx="0">
                  <c:v>0.12929680107125799</c:v>
                </c:pt>
                <c:pt idx="1">
                  <c:v>0.162276433221268</c:v>
                </c:pt>
                <c:pt idx="2">
                  <c:v>0.15373297660369384</c:v>
                </c:pt>
                <c:pt idx="3">
                  <c:v>0.14857824799557004</c:v>
                </c:pt>
                <c:pt idx="4">
                  <c:v>0.14834474945186052</c:v>
                </c:pt>
                <c:pt idx="5">
                  <c:v>0.17890482769234956</c:v>
                </c:pt>
                <c:pt idx="6">
                  <c:v>0.20565650666950094</c:v>
                </c:pt>
                <c:pt idx="7">
                  <c:v>0.20662534551144604</c:v>
                </c:pt>
                <c:pt idx="8">
                  <c:v>0.17851712029910802</c:v>
                </c:pt>
                <c:pt idx="9">
                  <c:v>0.12347588871583161</c:v>
                </c:pt>
              </c:numCache>
            </c:numRef>
          </c:val>
          <c:extLst>
            <c:ext xmlns:c16="http://schemas.microsoft.com/office/drawing/2014/chart" uri="{C3380CC4-5D6E-409C-BE32-E72D297353CC}">
              <c16:uniqueId val="{00000002-63FB-4D2F-A62C-563D5155F654}"/>
            </c:ext>
          </c:extLst>
        </c:ser>
        <c:ser>
          <c:idx val="3"/>
          <c:order val="3"/>
          <c:tx>
            <c:strRef>
              <c:f>'NSWOS demersal over 24m'!$C$95</c:f>
              <c:strCache>
                <c:ptCount val="1"/>
                <c:pt idx="0">
                  <c:v>Saithe</c:v>
                </c:pt>
              </c:strCache>
            </c:strRef>
          </c:tx>
          <c:spPr>
            <a:solidFill>
              <a:srgbClr val="C1D119"/>
            </a:solidFill>
            <a:ln>
              <a:solidFill>
                <a:srgbClr val="FFFFFF"/>
              </a:solidFill>
            </a:ln>
          </c:spPr>
          <c:invertIfNegative val="0"/>
          <c:cat>
            <c:numRef>
              <c:f>'NSWOS demersal over 24m'!$D$91:$M$91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over 24m'!$D$95:$M$95</c:f>
              <c:numCache>
                <c:formatCode>0%</c:formatCode>
                <c:ptCount val="10"/>
                <c:pt idx="0">
                  <c:v>0.14016570302181269</c:v>
                </c:pt>
                <c:pt idx="1">
                  <c:v>0.12064683341801762</c:v>
                </c:pt>
                <c:pt idx="2">
                  <c:v>0.11502475555236419</c:v>
                </c:pt>
                <c:pt idx="3">
                  <c:v>0.10082049720664754</c:v>
                </c:pt>
                <c:pt idx="4">
                  <c:v>8.6431302475298483E-2</c:v>
                </c:pt>
                <c:pt idx="5">
                  <c:v>6.8785045395454922E-2</c:v>
                </c:pt>
                <c:pt idx="6">
                  <c:v>6.280002205320076E-2</c:v>
                </c:pt>
                <c:pt idx="7">
                  <c:v>7.8901375598363049E-2</c:v>
                </c:pt>
                <c:pt idx="8">
                  <c:v>7.7951145899252977E-2</c:v>
                </c:pt>
                <c:pt idx="9">
                  <c:v>7.0605821377460687E-2</c:v>
                </c:pt>
              </c:numCache>
            </c:numRef>
          </c:val>
          <c:extLst>
            <c:ext xmlns:c16="http://schemas.microsoft.com/office/drawing/2014/chart" uri="{C3380CC4-5D6E-409C-BE32-E72D297353CC}">
              <c16:uniqueId val="{00000003-63FB-4D2F-A62C-563D5155F654}"/>
            </c:ext>
          </c:extLst>
        </c:ser>
        <c:ser>
          <c:idx val="4"/>
          <c:order val="4"/>
          <c:tx>
            <c:strRef>
              <c:f>'NSWOS demersal over 24m'!$C$96</c:f>
              <c:strCache>
                <c:ptCount val="1"/>
                <c:pt idx="0">
                  <c:v>Whiting</c:v>
                </c:pt>
              </c:strCache>
            </c:strRef>
          </c:tx>
          <c:spPr>
            <a:solidFill>
              <a:srgbClr val="E84A38"/>
            </a:solidFill>
            <a:ln>
              <a:solidFill>
                <a:srgbClr val="FFFFFF"/>
              </a:solidFill>
            </a:ln>
          </c:spPr>
          <c:invertIfNegative val="0"/>
          <c:cat>
            <c:numRef>
              <c:f>'NSWOS demersal over 24m'!$D$91:$M$91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over 24m'!$D$96:$M$96</c:f>
              <c:numCache>
                <c:formatCode>0%</c:formatCode>
                <c:ptCount val="10"/>
                <c:pt idx="8">
                  <c:v>5.3389125695774829E-2</c:v>
                </c:pt>
              </c:numCache>
            </c:numRef>
          </c:val>
          <c:extLst>
            <c:ext xmlns:c16="http://schemas.microsoft.com/office/drawing/2014/chart" uri="{C3380CC4-5D6E-409C-BE32-E72D297353CC}">
              <c16:uniqueId val="{00000004-63FB-4D2F-A62C-563D5155F654}"/>
            </c:ext>
          </c:extLst>
        </c:ser>
        <c:ser>
          <c:idx val="5"/>
          <c:order val="5"/>
          <c:tx>
            <c:strRef>
              <c:f>'NSWOS demersal over 24m'!$C$97</c:f>
              <c:strCache>
                <c:ptCount val="1"/>
                <c:pt idx="0">
                  <c:v>Ling</c:v>
                </c:pt>
              </c:strCache>
            </c:strRef>
          </c:tx>
          <c:spPr>
            <a:solidFill>
              <a:srgbClr val="0F9AA9"/>
            </a:solidFill>
            <a:ln>
              <a:solidFill>
                <a:srgbClr val="FFFFFF"/>
              </a:solidFill>
            </a:ln>
          </c:spPr>
          <c:invertIfNegative val="0"/>
          <c:cat>
            <c:numRef>
              <c:f>'NSWOS demersal over 24m'!$D$91:$M$91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over 24m'!$D$97:$M$97</c:f>
              <c:numCache>
                <c:formatCode>0%</c:formatCode>
                <c:ptCount val="10"/>
                <c:pt idx="9">
                  <c:v>5.6182507485063149E-2</c:v>
                </c:pt>
              </c:numCache>
            </c:numRef>
          </c:val>
          <c:extLst>
            <c:ext xmlns:c16="http://schemas.microsoft.com/office/drawing/2014/chart" uri="{C3380CC4-5D6E-409C-BE32-E72D297353CC}">
              <c16:uniqueId val="{00000005-63FB-4D2F-A62C-563D5155F654}"/>
            </c:ext>
          </c:extLst>
        </c:ser>
        <c:ser>
          <c:idx val="6"/>
          <c:order val="6"/>
          <c:tx>
            <c:strRef>
              <c:f>'NSWOS demersal over 24m'!$C$98</c:f>
              <c:strCache>
                <c:ptCount val="1"/>
                <c:pt idx="0">
                  <c:v>Squid</c:v>
                </c:pt>
              </c:strCache>
            </c:strRef>
          </c:tx>
          <c:spPr>
            <a:solidFill>
              <a:srgbClr val="FED825"/>
            </a:solidFill>
            <a:ln>
              <a:solidFill>
                <a:srgbClr val="FFFFFF"/>
              </a:solidFill>
            </a:ln>
          </c:spPr>
          <c:invertIfNegative val="0"/>
          <c:cat>
            <c:numRef>
              <c:f>'NSWOS demersal over 24m'!$D$91:$M$91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over 24m'!$D$98:$M$98</c:f>
              <c:numCache>
                <c:formatCode>0%</c:formatCode>
                <c:ptCount val="10"/>
                <c:pt idx="7">
                  <c:v>5.1968442232285909E-2</c:v>
                </c:pt>
              </c:numCache>
            </c:numRef>
          </c:val>
          <c:extLst>
            <c:ext xmlns:c16="http://schemas.microsoft.com/office/drawing/2014/chart" uri="{C3380CC4-5D6E-409C-BE32-E72D297353CC}">
              <c16:uniqueId val="{00000006-63FB-4D2F-A62C-563D5155F654}"/>
            </c:ext>
          </c:extLst>
        </c:ser>
        <c:ser>
          <c:idx val="7"/>
          <c:order val="7"/>
          <c:tx>
            <c:strRef>
              <c:f>'NSWOS demersal over 24m'!$C$99</c:f>
              <c:strCache>
                <c:ptCount val="1"/>
                <c:pt idx="0">
                  <c:v>Plaice</c:v>
                </c:pt>
              </c:strCache>
            </c:strRef>
          </c:tx>
          <c:spPr>
            <a:solidFill>
              <a:srgbClr val="707271"/>
            </a:solidFill>
            <a:ln>
              <a:solidFill>
                <a:srgbClr val="FFFFFF"/>
              </a:solidFill>
            </a:ln>
          </c:spPr>
          <c:invertIfNegative val="0"/>
          <c:cat>
            <c:numRef>
              <c:f>'NSWOS demersal over 24m'!$D$91:$M$91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over 24m'!$D$99:$M$99</c:f>
              <c:numCache>
                <c:formatCode>0%</c:formatCode>
                <c:ptCount val="10"/>
                <c:pt idx="0">
                  <c:v>0.12076799805785675</c:v>
                </c:pt>
                <c:pt idx="1">
                  <c:v>8.6015902398037164E-2</c:v>
                </c:pt>
                <c:pt idx="2">
                  <c:v>7.4115019053803938E-2</c:v>
                </c:pt>
                <c:pt idx="3">
                  <c:v>9.779992705768259E-2</c:v>
                </c:pt>
                <c:pt idx="4">
                  <c:v>0.11642605102331076</c:v>
                </c:pt>
                <c:pt idx="5">
                  <c:v>9.3980744326076157E-2</c:v>
                </c:pt>
                <c:pt idx="6">
                  <c:v>8.5725627929065129E-2</c:v>
                </c:pt>
              </c:numCache>
            </c:numRef>
          </c:val>
          <c:extLst>
            <c:ext xmlns:c16="http://schemas.microsoft.com/office/drawing/2014/chart" uri="{C3380CC4-5D6E-409C-BE32-E72D297353CC}">
              <c16:uniqueId val="{00000007-63FB-4D2F-A62C-563D5155F654}"/>
            </c:ext>
          </c:extLst>
        </c:ser>
        <c:ser>
          <c:idx val="8"/>
          <c:order val="8"/>
          <c:tx>
            <c:strRef>
              <c:f>'NSWOS demersal over 24m'!$C$100</c:f>
              <c:strCache>
                <c:ptCount val="1"/>
                <c:pt idx="0">
                  <c:v>Others</c:v>
                </c:pt>
              </c:strCache>
            </c:strRef>
          </c:tx>
          <c:spPr>
            <a:solidFill>
              <a:srgbClr val="55585A"/>
            </a:solidFill>
            <a:ln>
              <a:solidFill>
                <a:srgbClr val="FFFFFF"/>
              </a:solidFill>
            </a:ln>
          </c:spPr>
          <c:invertIfNegative val="0"/>
          <c:cat>
            <c:numRef>
              <c:f>'NSWOS demersal over 24m'!$D$91:$M$91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over 24m'!$D$100:$M$100</c:f>
              <c:numCache>
                <c:formatCode>0%</c:formatCode>
                <c:ptCount val="10"/>
                <c:pt idx="0">
                  <c:v>0.27797630230994386</c:v>
                </c:pt>
                <c:pt idx="1">
                  <c:v>0.28185332302121718</c:v>
                </c:pt>
                <c:pt idx="2">
                  <c:v>0.27303503198514795</c:v>
                </c:pt>
                <c:pt idx="3">
                  <c:v>0.27317925381611768</c:v>
                </c:pt>
                <c:pt idx="4">
                  <c:v>0.27374723705766579</c:v>
                </c:pt>
                <c:pt idx="5">
                  <c:v>0.26624550052153395</c:v>
                </c:pt>
                <c:pt idx="6">
                  <c:v>0.27036735497333514</c:v>
                </c:pt>
                <c:pt idx="7">
                  <c:v>0.28181811073611812</c:v>
                </c:pt>
                <c:pt idx="8">
                  <c:v>0.28772789740765781</c:v>
                </c:pt>
                <c:pt idx="9">
                  <c:v>0.29335929810367462</c:v>
                </c:pt>
              </c:numCache>
            </c:numRef>
          </c:val>
          <c:extLst>
            <c:ext xmlns:c16="http://schemas.microsoft.com/office/drawing/2014/chart" uri="{C3380CC4-5D6E-409C-BE32-E72D297353CC}">
              <c16:uniqueId val="{00000008-63FB-4D2F-A62C-563D5155F654}"/>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'NSWOS demersal over 24m'!$B$162</c:f>
              <c:strCache>
                <c:ptCount val="1"/>
                <c:pt idx="0">
                  <c:v>Haddock</c:v>
                </c:pt>
              </c:strCache>
            </c:strRef>
          </c:tx>
          <c:spPr>
            <a:solidFill>
              <a:srgbClr val="2273B9"/>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24m'!$C$162:$E$162</c:f>
              <c:numCache>
                <c:formatCode>0%</c:formatCode>
                <c:ptCount val="3"/>
                <c:pt idx="0">
                  <c:v>0.1778811513952421</c:v>
                </c:pt>
                <c:pt idx="1">
                  <c:v>0.29057598460635936</c:v>
                </c:pt>
                <c:pt idx="2">
                  <c:v>5.9390785357009743E-2</c:v>
                </c:pt>
              </c:numCache>
            </c:numRef>
          </c:val>
          <c:extLst>
            <c:ext xmlns:c16="http://schemas.microsoft.com/office/drawing/2014/chart" uri="{C3380CC4-5D6E-409C-BE32-E72D297353CC}">
              <c16:uniqueId val="{00000000-5FDC-4A7A-9CBA-9B51B3782A64}"/>
            </c:ext>
          </c:extLst>
        </c:ser>
        <c:ser>
          <c:idx val="1"/>
          <c:order val="1"/>
          <c:tx>
            <c:strRef>
              <c:f>'NSWOS demersal over 24m'!$B$163</c:f>
              <c:strCache>
                <c:ptCount val="1"/>
                <c:pt idx="0">
                  <c:v>Saithe</c:v>
                </c:pt>
              </c:strCache>
            </c:strRef>
          </c:tx>
          <c:spPr>
            <a:solidFill>
              <a:srgbClr val="C1D119"/>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24m'!$C$163:$E$163</c:f>
              <c:numCache>
                <c:formatCode>0%</c:formatCode>
                <c:ptCount val="3"/>
                <c:pt idx="0">
                  <c:v>7.9375455548644169E-2</c:v>
                </c:pt>
                <c:pt idx="1">
                  <c:v>0.18278895947636478</c:v>
                </c:pt>
                <c:pt idx="2">
                  <c:v>0</c:v>
                </c:pt>
              </c:numCache>
            </c:numRef>
          </c:val>
          <c:extLst>
            <c:ext xmlns:c16="http://schemas.microsoft.com/office/drawing/2014/chart" uri="{C3380CC4-5D6E-409C-BE32-E72D297353CC}">
              <c16:uniqueId val="{00000001-5FDC-4A7A-9CBA-9B51B3782A64}"/>
            </c:ext>
          </c:extLst>
        </c:ser>
        <c:ser>
          <c:idx val="2"/>
          <c:order val="2"/>
          <c:tx>
            <c:strRef>
              <c:f>'NSWOS demersal over 24m'!$B$164</c:f>
              <c:strCache>
                <c:ptCount val="1"/>
                <c:pt idx="0">
                  <c:v>Cod</c:v>
                </c:pt>
              </c:strCache>
            </c:strRef>
          </c:tx>
          <c:spPr>
            <a:solidFill>
              <a:srgbClr val="648C2E"/>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24m'!$C$164:$E$164</c:f>
              <c:numCache>
                <c:formatCode>0%</c:formatCode>
                <c:ptCount val="3"/>
                <c:pt idx="0">
                  <c:v>7.5743705623902896E-2</c:v>
                </c:pt>
                <c:pt idx="1">
                  <c:v>0.14029893342723201</c:v>
                </c:pt>
                <c:pt idx="2">
                  <c:v>0</c:v>
                </c:pt>
              </c:numCache>
            </c:numRef>
          </c:val>
          <c:extLst>
            <c:ext xmlns:c16="http://schemas.microsoft.com/office/drawing/2014/chart" uri="{C3380CC4-5D6E-409C-BE32-E72D297353CC}">
              <c16:uniqueId val="{00000002-5FDC-4A7A-9CBA-9B51B3782A64}"/>
            </c:ext>
          </c:extLst>
        </c:ser>
        <c:ser>
          <c:idx val="3"/>
          <c:order val="3"/>
          <c:tx>
            <c:strRef>
              <c:f>'NSWOS demersal over 24m'!$B$165</c:f>
              <c:strCache>
                <c:ptCount val="1"/>
                <c:pt idx="0">
                  <c:v>Anglerfish</c:v>
                </c:pt>
              </c:strCache>
            </c:strRef>
          </c:tx>
          <c:spPr>
            <a:solidFill>
              <a:srgbClr val="E87308"/>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24m'!$C$165:$E$165</c:f>
              <c:numCache>
                <c:formatCode>0%</c:formatCode>
                <c:ptCount val="3"/>
                <c:pt idx="0">
                  <c:v>6.7830904795509753E-2</c:v>
                </c:pt>
                <c:pt idx="1">
                  <c:v>0.13320076609625242</c:v>
                </c:pt>
                <c:pt idx="2">
                  <c:v>5.584118609809146E-2</c:v>
                </c:pt>
              </c:numCache>
            </c:numRef>
          </c:val>
          <c:extLst>
            <c:ext xmlns:c16="http://schemas.microsoft.com/office/drawing/2014/chart" uri="{C3380CC4-5D6E-409C-BE32-E72D297353CC}">
              <c16:uniqueId val="{00000003-5FDC-4A7A-9CBA-9B51B3782A64}"/>
            </c:ext>
          </c:extLst>
        </c:ser>
        <c:ser>
          <c:idx val="4"/>
          <c:order val="4"/>
          <c:tx>
            <c:strRef>
              <c:f>'NSWOS demersal over 24m'!$B$166</c:f>
              <c:strCache>
                <c:ptCount val="1"/>
                <c:pt idx="0">
                  <c:v>Whiting</c:v>
                </c:pt>
              </c:strCache>
            </c:strRef>
          </c:tx>
          <c:spPr>
            <a:solidFill>
              <a:srgbClr val="E84A38"/>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24m'!$C$166:$E$166</c:f>
              <c:numCache>
                <c:formatCode>0%</c:formatCode>
                <c:ptCount val="3"/>
                <c:pt idx="0">
                  <c:v>4.0997507235673428E-2</c:v>
                </c:pt>
                <c:pt idx="1">
                  <c:v>8.0686293234705719E-2</c:v>
                </c:pt>
                <c:pt idx="2">
                  <c:v>5.7657336634094225E-2</c:v>
                </c:pt>
              </c:numCache>
            </c:numRef>
          </c:val>
          <c:extLst>
            <c:ext xmlns:c16="http://schemas.microsoft.com/office/drawing/2014/chart" uri="{C3380CC4-5D6E-409C-BE32-E72D297353CC}">
              <c16:uniqueId val="{00000004-5FDC-4A7A-9CBA-9B51B3782A64}"/>
            </c:ext>
          </c:extLst>
        </c:ser>
        <c:ser>
          <c:idx val="5"/>
          <c:order val="5"/>
          <c:tx>
            <c:strRef>
              <c:f>'NSWOS demersal over 24m'!$B$167</c:f>
              <c:strCache>
                <c:ptCount val="1"/>
                <c:pt idx="0">
                  <c:v>Plaice</c:v>
                </c:pt>
              </c:strCache>
            </c:strRef>
          </c:tx>
          <c:spPr>
            <a:solidFill>
              <a:srgbClr val="0F9AA9"/>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24m'!$C$167:$E$167</c:f>
              <c:numCache>
                <c:formatCode>0%</c:formatCode>
                <c:ptCount val="3"/>
                <c:pt idx="0">
                  <c:v>0</c:v>
                </c:pt>
                <c:pt idx="1">
                  <c:v>0</c:v>
                </c:pt>
                <c:pt idx="2">
                  <c:v>0.12493030106126767</c:v>
                </c:pt>
              </c:numCache>
            </c:numRef>
          </c:val>
          <c:extLst>
            <c:ext xmlns:c16="http://schemas.microsoft.com/office/drawing/2014/chart" uri="{C3380CC4-5D6E-409C-BE32-E72D297353CC}">
              <c16:uniqueId val="{00000005-5FDC-4A7A-9CBA-9B51B3782A64}"/>
            </c:ext>
          </c:extLst>
        </c:ser>
        <c:ser>
          <c:idx val="6"/>
          <c:order val="6"/>
          <c:tx>
            <c:strRef>
              <c:f>'NSWOS demersal over 24m'!$B$168</c:f>
              <c:strCache>
                <c:ptCount val="1"/>
                <c:pt idx="0">
                  <c:v>Nephrops</c:v>
                </c:pt>
              </c:strCache>
            </c:strRef>
          </c:tx>
          <c:spPr>
            <a:solidFill>
              <a:srgbClr val="FED825"/>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24m'!$C$168:$E$168</c:f>
              <c:numCache>
                <c:formatCode>0%</c:formatCode>
                <c:ptCount val="3"/>
                <c:pt idx="0">
                  <c:v>0</c:v>
                </c:pt>
                <c:pt idx="1">
                  <c:v>0</c:v>
                </c:pt>
                <c:pt idx="2">
                  <c:v>6.5548315272539542E-2</c:v>
                </c:pt>
              </c:numCache>
            </c:numRef>
          </c:val>
          <c:extLst>
            <c:ext xmlns:c16="http://schemas.microsoft.com/office/drawing/2014/chart" uri="{C3380CC4-5D6E-409C-BE32-E72D297353CC}">
              <c16:uniqueId val="{00000006-5FDC-4A7A-9CBA-9B51B3782A64}"/>
            </c:ext>
          </c:extLst>
        </c:ser>
        <c:ser>
          <c:idx val="7"/>
          <c:order val="7"/>
          <c:tx>
            <c:strRef>
              <c:f>'NSWOS demersal over 24m'!$B$169</c:f>
              <c:strCache>
                <c:ptCount val="1"/>
                <c:pt idx="0">
                  <c:v>Others</c:v>
                </c:pt>
              </c:strCache>
            </c:strRef>
          </c:tx>
          <c:spPr>
            <a:solidFill>
              <a:srgbClr val="55585A"/>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24m'!$C$169:$E$169</c:f>
              <c:numCache>
                <c:formatCode>0%</c:formatCode>
                <c:ptCount val="3"/>
                <c:pt idx="0">
                  <c:v>0.55817127540102773</c:v>
                </c:pt>
                <c:pt idx="1">
                  <c:v>0.17244906315908581</c:v>
                </c:pt>
                <c:pt idx="2">
                  <c:v>0.63663207557699741</c:v>
                </c:pt>
              </c:numCache>
            </c:numRef>
          </c:val>
          <c:extLst>
            <c:ext xmlns:c16="http://schemas.microsoft.com/office/drawing/2014/chart" uri="{C3380CC4-5D6E-409C-BE32-E72D297353CC}">
              <c16:uniqueId val="{00000007-5FDC-4A7A-9CBA-9B51B3782A64}"/>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'NSWOS demersal over 24m'!$H$162</c:f>
              <c:strCache>
                <c:ptCount val="1"/>
                <c:pt idx="0">
                  <c:v>Haddock</c:v>
                </c:pt>
              </c:strCache>
            </c:strRef>
          </c:tx>
          <c:spPr>
            <a:solidFill>
              <a:srgbClr val="2273B9"/>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24m'!$I$162:$K$162</c:f>
              <c:numCache>
                <c:formatCode>0%</c:formatCode>
                <c:ptCount val="3"/>
                <c:pt idx="0">
                  <c:v>0.13854365995357085</c:v>
                </c:pt>
                <c:pt idx="1">
                  <c:v>0.23907198123982398</c:v>
                </c:pt>
                <c:pt idx="2">
                  <c:v>4.1719974712615543E-2</c:v>
                </c:pt>
              </c:numCache>
            </c:numRef>
          </c:val>
          <c:extLst>
            <c:ext xmlns:c16="http://schemas.microsoft.com/office/drawing/2014/chart" uri="{C3380CC4-5D6E-409C-BE32-E72D297353CC}">
              <c16:uniqueId val="{00000000-11D1-4270-82F1-8167ADC2B298}"/>
            </c:ext>
          </c:extLst>
        </c:ser>
        <c:ser>
          <c:idx val="1"/>
          <c:order val="1"/>
          <c:tx>
            <c:strRef>
              <c:f>'NSWOS demersal over 24m'!$H$163</c:f>
              <c:strCache>
                <c:ptCount val="1"/>
                <c:pt idx="0">
                  <c:v>Anglerfish</c:v>
                </c:pt>
              </c:strCache>
            </c:strRef>
          </c:tx>
          <c:spPr>
            <a:solidFill>
              <a:srgbClr val="E87308"/>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24m'!$I$163:$K$163</c:f>
              <c:numCache>
                <c:formatCode>0%</c:formatCode>
                <c:ptCount val="3"/>
                <c:pt idx="0">
                  <c:v>9.1823621347141754E-2</c:v>
                </c:pt>
                <c:pt idx="1">
                  <c:v>0.21380217802800994</c:v>
                </c:pt>
                <c:pt idx="2">
                  <c:v>8.9217707415002193E-2</c:v>
                </c:pt>
              </c:numCache>
            </c:numRef>
          </c:val>
          <c:extLst>
            <c:ext xmlns:c16="http://schemas.microsoft.com/office/drawing/2014/chart" uri="{C3380CC4-5D6E-409C-BE32-E72D297353CC}">
              <c16:uniqueId val="{00000001-11D1-4270-82F1-8167ADC2B298}"/>
            </c:ext>
          </c:extLst>
        </c:ser>
        <c:ser>
          <c:idx val="2"/>
          <c:order val="2"/>
          <c:tx>
            <c:strRef>
              <c:f>'NSWOS demersal over 24m'!$H$164</c:f>
              <c:strCache>
                <c:ptCount val="1"/>
                <c:pt idx="0">
                  <c:v>Cod</c:v>
                </c:pt>
              </c:strCache>
            </c:strRef>
          </c:tx>
          <c:spPr>
            <a:solidFill>
              <a:srgbClr val="648C2E"/>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24m'!$I$164:$K$164</c:f>
              <c:numCache>
                <c:formatCode>0%</c:formatCode>
                <c:ptCount val="3"/>
                <c:pt idx="0">
                  <c:v>0.10731666349916101</c:v>
                </c:pt>
                <c:pt idx="1">
                  <c:v>0.19992334711493967</c:v>
                </c:pt>
                <c:pt idx="2">
                  <c:v>4.4477141546472108E-2</c:v>
                </c:pt>
              </c:numCache>
            </c:numRef>
          </c:val>
          <c:extLst>
            <c:ext xmlns:c16="http://schemas.microsoft.com/office/drawing/2014/chart" uri="{C3380CC4-5D6E-409C-BE32-E72D297353CC}">
              <c16:uniqueId val="{00000002-11D1-4270-82F1-8167ADC2B298}"/>
            </c:ext>
          </c:extLst>
        </c:ser>
        <c:ser>
          <c:idx val="3"/>
          <c:order val="3"/>
          <c:tx>
            <c:strRef>
              <c:f>'NSWOS demersal over 24m'!$H$165</c:f>
              <c:strCache>
                <c:ptCount val="1"/>
                <c:pt idx="0">
                  <c:v>Saithe</c:v>
                </c:pt>
              </c:strCache>
            </c:strRef>
          </c:tx>
          <c:spPr>
            <a:solidFill>
              <a:srgbClr val="C1D119"/>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24m'!$I$165:$K$165</c:f>
              <c:numCache>
                <c:formatCode>0%</c:formatCode>
                <c:ptCount val="3"/>
                <c:pt idx="0">
                  <c:v>4.077620362827427E-2</c:v>
                </c:pt>
                <c:pt idx="1">
                  <c:v>9.4428649371385592E-2</c:v>
                </c:pt>
                <c:pt idx="2">
                  <c:v>0</c:v>
                </c:pt>
              </c:numCache>
            </c:numRef>
          </c:val>
          <c:extLst>
            <c:ext xmlns:c16="http://schemas.microsoft.com/office/drawing/2014/chart" uri="{C3380CC4-5D6E-409C-BE32-E72D297353CC}">
              <c16:uniqueId val="{00000003-11D1-4270-82F1-8167ADC2B298}"/>
            </c:ext>
          </c:extLst>
        </c:ser>
        <c:ser>
          <c:idx val="4"/>
          <c:order val="4"/>
          <c:tx>
            <c:strRef>
              <c:f>'NSWOS demersal over 24m'!$H$166</c:f>
              <c:strCache>
                <c:ptCount val="1"/>
                <c:pt idx="0">
                  <c:v>Whiting</c:v>
                </c:pt>
              </c:strCache>
            </c:strRef>
          </c:tx>
          <c:spPr>
            <a:solidFill>
              <a:srgbClr val="E84A38"/>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24m'!$I$166:$K$166</c:f>
              <c:numCache>
                <c:formatCode>0%</c:formatCode>
                <c:ptCount val="3"/>
                <c:pt idx="0">
                  <c:v>0</c:v>
                </c:pt>
                <c:pt idx="1">
                  <c:v>5.7813996504311335E-2</c:v>
                </c:pt>
                <c:pt idx="2">
                  <c:v>0</c:v>
                </c:pt>
              </c:numCache>
            </c:numRef>
          </c:val>
          <c:extLst>
            <c:ext xmlns:c16="http://schemas.microsoft.com/office/drawing/2014/chart" uri="{C3380CC4-5D6E-409C-BE32-E72D297353CC}">
              <c16:uniqueId val="{00000004-11D1-4270-82F1-8167ADC2B298}"/>
            </c:ext>
          </c:extLst>
        </c:ser>
        <c:ser>
          <c:idx val="5"/>
          <c:order val="5"/>
          <c:tx>
            <c:strRef>
              <c:f>'NSWOS demersal over 24m'!$H$167</c:f>
              <c:strCache>
                <c:ptCount val="1"/>
                <c:pt idx="0">
                  <c:v>Nephrops</c:v>
                </c:pt>
              </c:strCache>
            </c:strRef>
          </c:tx>
          <c:spPr>
            <a:solidFill>
              <a:srgbClr val="FED825"/>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24m'!$I$167:$K$167</c:f>
              <c:numCache>
                <c:formatCode>0%</c:formatCode>
                <c:ptCount val="3"/>
                <c:pt idx="0">
                  <c:v>0</c:v>
                </c:pt>
                <c:pt idx="1">
                  <c:v>0</c:v>
                </c:pt>
                <c:pt idx="2">
                  <c:v>9.1335177697472236E-2</c:v>
                </c:pt>
              </c:numCache>
            </c:numRef>
          </c:val>
          <c:extLst>
            <c:ext xmlns:c16="http://schemas.microsoft.com/office/drawing/2014/chart" uri="{C3380CC4-5D6E-409C-BE32-E72D297353CC}">
              <c16:uniqueId val="{00000005-11D1-4270-82F1-8167ADC2B298}"/>
            </c:ext>
          </c:extLst>
        </c:ser>
        <c:ser>
          <c:idx val="6"/>
          <c:order val="6"/>
          <c:tx>
            <c:strRef>
              <c:f>'NSWOS demersal over 24m'!$H$168</c:f>
              <c:strCache>
                <c:ptCount val="1"/>
                <c:pt idx="0">
                  <c:v>Plaice</c:v>
                </c:pt>
              </c:strCache>
            </c:strRef>
          </c:tx>
          <c:spPr>
            <a:solidFill>
              <a:srgbClr val="0F9AA9"/>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24m'!$I$168:$K$168</c:f>
              <c:numCache>
                <c:formatCode>0%</c:formatCode>
                <c:ptCount val="3"/>
                <c:pt idx="0">
                  <c:v>0</c:v>
                </c:pt>
                <c:pt idx="1">
                  <c:v>0</c:v>
                </c:pt>
                <c:pt idx="2">
                  <c:v>8.4417925936492028E-2</c:v>
                </c:pt>
              </c:numCache>
            </c:numRef>
          </c:val>
          <c:extLst>
            <c:ext xmlns:c16="http://schemas.microsoft.com/office/drawing/2014/chart" uri="{C3380CC4-5D6E-409C-BE32-E72D297353CC}">
              <c16:uniqueId val="{00000006-11D1-4270-82F1-8167ADC2B298}"/>
            </c:ext>
          </c:extLst>
        </c:ser>
        <c:ser>
          <c:idx val="7"/>
          <c:order val="7"/>
          <c:tx>
            <c:strRef>
              <c:f>'NSWOS demersal over 24m'!$H$169</c:f>
              <c:strCache>
                <c:ptCount val="1"/>
                <c:pt idx="0">
                  <c:v>Squid</c:v>
                </c:pt>
              </c:strCache>
            </c:strRef>
          </c:tx>
          <c:spPr>
            <a:solidFill>
              <a:srgbClr val="707271"/>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24m'!$I$169:$K$169</c:f>
              <c:numCache>
                <c:formatCode>0%</c:formatCode>
                <c:ptCount val="3"/>
                <c:pt idx="0">
                  <c:v>2.790984008181821E-2</c:v>
                </c:pt>
                <c:pt idx="1">
                  <c:v>0</c:v>
                </c:pt>
                <c:pt idx="2">
                  <c:v>0</c:v>
                </c:pt>
              </c:numCache>
            </c:numRef>
          </c:val>
          <c:extLst>
            <c:ext xmlns:c16="http://schemas.microsoft.com/office/drawing/2014/chart" uri="{C3380CC4-5D6E-409C-BE32-E72D297353CC}">
              <c16:uniqueId val="{00000007-11D1-4270-82F1-8167ADC2B298}"/>
            </c:ext>
          </c:extLst>
        </c:ser>
        <c:ser>
          <c:idx val="8"/>
          <c:order val="8"/>
          <c:tx>
            <c:strRef>
              <c:f>'NSWOS demersal over 24m'!$H$170</c:f>
              <c:strCache>
                <c:ptCount val="1"/>
                <c:pt idx="0">
                  <c:v>Others</c:v>
                </c:pt>
              </c:strCache>
            </c:strRef>
          </c:tx>
          <c:spPr>
            <a:solidFill>
              <a:srgbClr val="55585A"/>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24m'!$I$170:$K$170</c:f>
              <c:numCache>
                <c:formatCode>0%</c:formatCode>
                <c:ptCount val="3"/>
                <c:pt idx="0">
                  <c:v>0.59363001149003392</c:v>
                </c:pt>
                <c:pt idx="1">
                  <c:v>0.19495984774152952</c:v>
                </c:pt>
                <c:pt idx="2">
                  <c:v>0.64883207269194587</c:v>
                </c:pt>
              </c:numCache>
            </c:numRef>
          </c:val>
          <c:extLst>
            <c:ext xmlns:c16="http://schemas.microsoft.com/office/drawing/2014/chart" uri="{C3380CC4-5D6E-409C-BE32-E72D297353CC}">
              <c16:uniqueId val="{00000008-11D1-4270-82F1-8167ADC2B298}"/>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'NSWOS demersal over 24m'!$K$139</c:f>
              <c:strCache>
                <c:ptCount val="1"/>
                <c:pt idx="0">
                  <c:v>Total income</c:v>
                </c:pt>
              </c:strCache>
            </c:strRef>
          </c:tx>
          <c:spPr>
            <a:solidFill>
              <a:srgbClr val="087CBB"/>
            </a:solidFill>
            <a:ln>
              <a:solidFill>
                <a:schemeClr val="accent1"/>
              </a:solidFill>
            </a:ln>
          </c:spPr>
          <c:invertIfNegative val="0"/>
          <c:cat>
            <c:strRef>
              <c:f>'NSWOS demersal over 24m'!$L$138:$N$138</c:f>
              <c:strCache>
                <c:ptCount val="3"/>
                <c:pt idx="0">
                  <c:v>Most
profitable
quartile</c:v>
                </c:pt>
                <c:pt idx="1">
                  <c:v>Middle
two quartiles</c:v>
                </c:pt>
                <c:pt idx="2">
                  <c:v>Least
profitable
quartile</c:v>
                </c:pt>
              </c:strCache>
            </c:strRef>
          </c:cat>
          <c:val>
            <c:numRef>
              <c:f>'NSWOS demersal over 24m'!$L$139:$N$139</c:f>
              <c:numCache>
                <c:formatCode>#,##0</c:formatCode>
                <c:ptCount val="3"/>
                <c:pt idx="0">
                  <c:v>3816.30575</c:v>
                </c:pt>
                <c:pt idx="1">
                  <c:v>2340.2481250000001</c:v>
                </c:pt>
                <c:pt idx="2">
                  <c:v>1199.4829999999999</c:v>
                </c:pt>
              </c:numCache>
            </c:numRef>
          </c:val>
          <c:extLst>
            <c:ext xmlns:c16="http://schemas.microsoft.com/office/drawing/2014/chart" uri="{C3380CC4-5D6E-409C-BE32-E72D297353CC}">
              <c16:uniqueId val="{00000000-7322-43B4-B7D1-AC0C2A5DCDBB}"/>
            </c:ext>
          </c:extLst>
        </c:ser>
        <c:ser>
          <c:idx val="1"/>
          <c:order val="1"/>
          <c:tx>
            <c:strRef>
              <c:f>'NSWOS demersal over 24m'!$K$140</c:f>
              <c:strCache>
                <c:ptCount val="1"/>
                <c:pt idx="0">
                  <c:v>Operating costs</c:v>
                </c:pt>
              </c:strCache>
            </c:strRef>
          </c:tx>
          <c:spPr>
            <a:solidFill>
              <a:srgbClr val="E87308"/>
            </a:solidFill>
          </c:spPr>
          <c:invertIfNegative val="0"/>
          <c:cat>
            <c:strRef>
              <c:f>'NSWOS demersal over 24m'!$L$138:$N$138</c:f>
              <c:strCache>
                <c:ptCount val="3"/>
                <c:pt idx="0">
                  <c:v>Most
profitable
quartile</c:v>
                </c:pt>
                <c:pt idx="1">
                  <c:v>Middle
two quartiles</c:v>
                </c:pt>
                <c:pt idx="2">
                  <c:v>Least
profitable
quartile</c:v>
                </c:pt>
              </c:strCache>
            </c:strRef>
          </c:cat>
          <c:val>
            <c:numRef>
              <c:f>'NSWOS demersal over 24m'!$L$140:$N$140</c:f>
              <c:numCache>
                <c:formatCode>#,##0</c:formatCode>
                <c:ptCount val="3"/>
                <c:pt idx="0">
                  <c:v>2980.23425</c:v>
                </c:pt>
                <c:pt idx="1">
                  <c:v>1956.1959374999999</c:v>
                </c:pt>
                <c:pt idx="2">
                  <c:v>1240.5666249999999</c:v>
                </c:pt>
              </c:numCache>
            </c:numRef>
          </c:val>
          <c:extLst>
            <c:ext xmlns:c16="http://schemas.microsoft.com/office/drawing/2014/chart" uri="{C3380CC4-5D6E-409C-BE32-E72D297353CC}">
              <c16:uniqueId val="{00000001-7322-43B4-B7D1-AC0C2A5DCDBB}"/>
            </c:ext>
          </c:extLst>
        </c:ser>
        <c:ser>
          <c:idx val="2"/>
          <c:order val="2"/>
          <c:tx>
            <c:strRef>
              <c:f>'NSWOS demersal over 24m'!$K$141</c:f>
              <c:strCache>
                <c:ptCount val="1"/>
                <c:pt idx="0">
                  <c:v>Operating profit</c:v>
                </c:pt>
              </c:strCache>
            </c:strRef>
          </c:tx>
          <c:spPr>
            <a:solidFill>
              <a:srgbClr val="51AA81"/>
            </a:solidFill>
          </c:spPr>
          <c:invertIfNegative val="0"/>
          <c:cat>
            <c:strRef>
              <c:f>'NSWOS demersal over 24m'!$L$138:$N$138</c:f>
              <c:strCache>
                <c:ptCount val="3"/>
                <c:pt idx="0">
                  <c:v>Most
profitable
quartile</c:v>
                </c:pt>
                <c:pt idx="1">
                  <c:v>Middle
two quartiles</c:v>
                </c:pt>
                <c:pt idx="2">
                  <c:v>Least
profitable
quartile</c:v>
                </c:pt>
              </c:strCache>
            </c:strRef>
          </c:cat>
          <c:val>
            <c:numRef>
              <c:f>'NSWOS demersal over 24m'!$L$141:$N$141</c:f>
              <c:numCache>
                <c:formatCode>#,##0</c:formatCode>
                <c:ptCount val="3"/>
                <c:pt idx="0">
                  <c:v>836.07150000000001</c:v>
                </c:pt>
                <c:pt idx="1">
                  <c:v>384.0521875</c:v>
                </c:pt>
                <c:pt idx="2">
                  <c:v>-41.083624999999998</c:v>
                </c:pt>
              </c:numCache>
            </c:numRef>
          </c:val>
          <c:extLst>
            <c:ext xmlns:c16="http://schemas.microsoft.com/office/drawing/2014/chart" uri="{C3380CC4-5D6E-409C-BE32-E72D297353CC}">
              <c16:uniqueId val="{00000002-7322-43B4-B7D1-AC0C2A5DCDBB}"/>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'NSWOS demersal over 24m'!$K$142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seine'!$A$48</c:f>
          <c:strCache>
            <c:ptCount val="1"/>
            <c:pt idx="0">
              <c:v>Landings per kW day at sea (kg)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1F05-402B-8E83-858FCFB2AC18}"/>
              </c:ext>
            </c:extLst>
          </c:dPt>
          <c:dPt>
            <c:idx val="10"/>
            <c:bubble3D val="0"/>
            <c:spPr>
              <a:ln w="57150">
                <a:solidFill>
                  <a:srgbClr val="2273B9"/>
                </a:solidFill>
                <a:prstDash val="sysDot"/>
              </a:ln>
            </c:spPr>
            <c:extLst>
              <c:ext xmlns:c16="http://schemas.microsoft.com/office/drawing/2014/chart" uri="{C3380CC4-5D6E-409C-BE32-E72D297353CC}">
                <c16:uniqueId val="{00000003-1F05-402B-8E83-858FCFB2AC18}"/>
              </c:ext>
            </c:extLst>
          </c:dPt>
          <c:cat>
            <c:numRef>
              <c:f>'NSWOS dem pair trawl seine'!$D$2:$N$2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'NSWOS dem pair trawl seine'!$D$21:$N$21</c:f>
              <c:numCache>
                <c:formatCode>#,##0.00</c:formatCode>
                <c:ptCount val="11"/>
                <c:pt idx="0">
                  <c:v>7.1804181121119175</c:v>
                </c:pt>
                <c:pt idx="1">
                  <c:v>8.4675204750370394</c:v>
                </c:pt>
                <c:pt idx="2">
                  <c:v>9.6634899870868356</c:v>
                </c:pt>
                <c:pt idx="3">
                  <c:v>9.9904098579477321</c:v>
                </c:pt>
                <c:pt idx="4">
                  <c:v>8.924383222780703</c:v>
                </c:pt>
                <c:pt idx="5">
                  <c:v>9.9660243818735381</c:v>
                </c:pt>
                <c:pt idx="6">
                  <c:v>10.633405650152223</c:v>
                </c:pt>
                <c:pt idx="7">
                  <c:v>9.7251156431219528</c:v>
                </c:pt>
                <c:pt idx="8">
                  <c:v>9.3298584197246246</c:v>
                </c:pt>
                <c:pt idx="9">
                  <c:v>9.2658685066931881</c:v>
                </c:pt>
                <c:pt idx="10">
                  <c:v>8.4001855010920377</c:v>
                </c:pt>
              </c:numCache>
            </c:numRef>
          </c:val>
          <c:smooth val="0"/>
          <c:extLst>
            <c:ext xmlns:c16="http://schemas.microsoft.com/office/drawing/2014/chart" uri="{C3380CC4-5D6E-409C-BE32-E72D297353CC}">
              <c16:uniqueId val="{00000004-1F05-402B-8E83-858FCFB2AC18}"/>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o250kW'!$A$50</c:f>
          <c:strCache>
            <c:ptCount val="1"/>
            <c:pt idx="0">
              <c:v>Average price per tonne landed (£)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A753-4342-AE0E-9FF2E385734E}"/>
              </c:ext>
            </c:extLst>
          </c:dPt>
          <c:dPt>
            <c:idx val="10"/>
            <c:bubble3D val="0"/>
            <c:spPr>
              <a:ln w="57150">
                <a:solidFill>
                  <a:schemeClr val="accent4"/>
                </a:solidFill>
                <a:prstDash val="sysDot"/>
              </a:ln>
            </c:spPr>
            <c:extLst>
              <c:ext xmlns:c16="http://schemas.microsoft.com/office/drawing/2014/chart" uri="{C3380CC4-5D6E-409C-BE32-E72D297353CC}">
                <c16:uniqueId val="{00000003-A753-4342-AE0E-9FF2E385734E}"/>
              </c:ext>
            </c:extLst>
          </c:dPt>
          <c:cat>
            <c:numRef>
              <c:f>'Area VIIa nephrops o250kW'!$D$2:$M$2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o250kW'!$D$20:$N$20</c:f>
              <c:numCache>
                <c:formatCode>#,##0</c:formatCode>
                <c:ptCount val="11"/>
                <c:pt idx="0">
                  <c:v>2345</c:v>
                </c:pt>
                <c:pt idx="1">
                  <c:v>2575</c:v>
                </c:pt>
                <c:pt idx="2">
                  <c:v>2166</c:v>
                </c:pt>
                <c:pt idx="3">
                  <c:v>2400</c:v>
                </c:pt>
                <c:pt idx="4">
                  <c:v>2174</c:v>
                </c:pt>
                <c:pt idx="5">
                  <c:v>2377</c:v>
                </c:pt>
                <c:pt idx="6">
                  <c:v>2440</c:v>
                </c:pt>
                <c:pt idx="7">
                  <c:v>2277</c:v>
                </c:pt>
                <c:pt idx="8">
                  <c:v>2460</c:v>
                </c:pt>
                <c:pt idx="9">
                  <c:v>1741</c:v>
                </c:pt>
                <c:pt idx="10">
                  <c:v>1824</c:v>
                </c:pt>
              </c:numCache>
            </c:numRef>
          </c:val>
          <c:smooth val="0"/>
          <c:extLst>
            <c:ext xmlns:c16="http://schemas.microsoft.com/office/drawing/2014/chart" uri="{C3380CC4-5D6E-409C-BE32-E72D297353CC}">
              <c16:uniqueId val="{00000004-A753-4342-AE0E-9FF2E385734E}"/>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seine'!$A$49</c:f>
          <c:strCache>
            <c:ptCount val="1"/>
            <c:pt idx="0">
              <c:v>Fishing income per kW day at sea (£)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4304-4BE9-922C-F0310E5E664F}"/>
              </c:ext>
            </c:extLst>
          </c:dPt>
          <c:dPt>
            <c:idx val="10"/>
            <c:bubble3D val="0"/>
            <c:spPr>
              <a:ln w="57150">
                <a:solidFill>
                  <a:srgbClr val="648C2E"/>
                </a:solidFill>
                <a:prstDash val="sysDot"/>
              </a:ln>
            </c:spPr>
            <c:extLst>
              <c:ext xmlns:c16="http://schemas.microsoft.com/office/drawing/2014/chart" uri="{C3380CC4-5D6E-409C-BE32-E72D297353CC}">
                <c16:uniqueId val="{00000003-4304-4BE9-922C-F0310E5E664F}"/>
              </c:ext>
            </c:extLst>
          </c:dPt>
          <c:cat>
            <c:numRef>
              <c:f>'NSWOS dem pair trawl seine'!$D$2:$N$2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'NSWOS dem pair trawl seine'!$D$22:$N$22</c:f>
              <c:numCache>
                <c:formatCode>#,##0.00</c:formatCode>
                <c:ptCount val="11"/>
                <c:pt idx="0">
                  <c:v>13.116845914057301</c:v>
                </c:pt>
                <c:pt idx="1">
                  <c:v>13.5739834259928</c:v>
                </c:pt>
                <c:pt idx="2">
                  <c:v>14.948857252814101</c:v>
                </c:pt>
                <c:pt idx="3">
                  <c:v>16.984360117261801</c:v>
                </c:pt>
                <c:pt idx="4">
                  <c:v>14.7621501213443</c:v>
                </c:pt>
                <c:pt idx="5">
                  <c:v>17.764978392592099</c:v>
                </c:pt>
                <c:pt idx="6">
                  <c:v>20.945053424902898</c:v>
                </c:pt>
                <c:pt idx="7">
                  <c:v>17.9469321505015</c:v>
                </c:pt>
                <c:pt idx="8">
                  <c:v>17.990157331754101</c:v>
                </c:pt>
                <c:pt idx="9">
                  <c:v>15.143926459939101</c:v>
                </c:pt>
                <c:pt idx="10">
                  <c:v>14.492177080118108</c:v>
                </c:pt>
              </c:numCache>
            </c:numRef>
          </c:val>
          <c:smooth val="0"/>
          <c:extLst>
            <c:ext xmlns:c16="http://schemas.microsoft.com/office/drawing/2014/chart" uri="{C3380CC4-5D6E-409C-BE32-E72D297353CC}">
              <c16:uniqueId val="{00000004-4304-4BE9-922C-F0310E5E664F}"/>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seine'!$B$62</c:f>
          <c:strCache>
            <c:ptCount val="1"/>
            <c:pt idx="0">
              <c:v>Total cost per kW day at sea (£)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0945-4195-8AF0-089261801232}"/>
              </c:ext>
            </c:extLst>
          </c:dPt>
          <c:dPt>
            <c:idx val="10"/>
            <c:bubble3D val="0"/>
            <c:spPr>
              <a:ln w="57150">
                <a:solidFill>
                  <a:srgbClr val="087CBB"/>
                </a:solidFill>
                <a:prstDash val="sysDot"/>
              </a:ln>
            </c:spPr>
            <c:extLst>
              <c:ext xmlns:c16="http://schemas.microsoft.com/office/drawing/2014/chart" uri="{C3380CC4-5D6E-409C-BE32-E72D297353CC}">
                <c16:uniqueId val="{00000003-0945-4195-8AF0-089261801232}"/>
              </c:ext>
            </c:extLst>
          </c:dPt>
          <c:cat>
            <c:numRef>
              <c:f>'NSWOS dem pair trawl seine'!$D$2:$N$2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'NSWOS dem pair trawl seine'!$D$23:$N$23</c:f>
              <c:numCache>
                <c:formatCode>#,##0.00</c:formatCode>
                <c:ptCount val="11"/>
                <c:pt idx="0">
                  <c:v>12.1274480788062</c:v>
                </c:pt>
                <c:pt idx="1">
                  <c:v>12.823836040592001</c:v>
                </c:pt>
                <c:pt idx="2">
                  <c:v>14.4194292255445</c:v>
                </c:pt>
                <c:pt idx="3">
                  <c:v>15.213181153816301</c:v>
                </c:pt>
                <c:pt idx="4">
                  <c:v>13.856924356323301</c:v>
                </c:pt>
                <c:pt idx="5">
                  <c:v>14.7770219280478</c:v>
                </c:pt>
                <c:pt idx="6">
                  <c:v>18.063836580626798</c:v>
                </c:pt>
                <c:pt idx="7">
                  <c:v>15.487052493717099</c:v>
                </c:pt>
                <c:pt idx="8">
                  <c:v>15.7779438421646</c:v>
                </c:pt>
                <c:pt idx="9">
                  <c:v>12.866056372449499</c:v>
                </c:pt>
                <c:pt idx="10">
                  <c:v>12.910696833750032</c:v>
                </c:pt>
              </c:numCache>
            </c:numRef>
          </c:val>
          <c:smooth val="0"/>
          <c:extLst>
            <c:ext xmlns:c16="http://schemas.microsoft.com/office/drawing/2014/chart" uri="{C3380CC4-5D6E-409C-BE32-E72D297353CC}">
              <c16:uniqueId val="{00000004-0945-4195-8AF0-089261801232}"/>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seine'!$K$48</c:f>
          <c:strCache>
            <c:ptCount val="1"/>
            <c:pt idx="0">
              <c:v>Operating profit per kW day at sea (£)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AA67-4E25-B532-EC3980EADF97}"/>
              </c:ext>
            </c:extLst>
          </c:dPt>
          <c:dPt>
            <c:idx val="10"/>
            <c:bubble3D val="0"/>
            <c:spPr>
              <a:ln w="57150">
                <a:solidFill>
                  <a:schemeClr val="accent3"/>
                </a:solidFill>
                <a:prstDash val="sysDot"/>
              </a:ln>
            </c:spPr>
            <c:extLst>
              <c:ext xmlns:c16="http://schemas.microsoft.com/office/drawing/2014/chart" uri="{C3380CC4-5D6E-409C-BE32-E72D297353CC}">
                <c16:uniqueId val="{00000003-AA67-4E25-B532-EC3980EADF97}"/>
              </c:ext>
            </c:extLst>
          </c:dPt>
          <c:cat>
            <c:numRef>
              <c:f>'NSWOS dem pair trawl seine'!$D$2:$N$2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'NSWOS dem pair trawl seine'!$D$24:$N$24</c:f>
              <c:numCache>
                <c:formatCode>#,##0.00</c:formatCode>
                <c:ptCount val="11"/>
                <c:pt idx="0">
                  <c:v>1.37507586086422</c:v>
                </c:pt>
                <c:pt idx="1">
                  <c:v>1.4451247143911199</c:v>
                </c:pt>
                <c:pt idx="2">
                  <c:v>3.3438870815228801</c:v>
                </c:pt>
                <c:pt idx="3">
                  <c:v>4.0432463472980302</c:v>
                </c:pt>
                <c:pt idx="4">
                  <c:v>1.35054824100091</c:v>
                </c:pt>
                <c:pt idx="5">
                  <c:v>4.1647931657894404</c:v>
                </c:pt>
                <c:pt idx="6">
                  <c:v>3.7114511631071898</c:v>
                </c:pt>
                <c:pt idx="7">
                  <c:v>2.5094876091299998</c:v>
                </c:pt>
                <c:pt idx="8">
                  <c:v>2.2669154627569301</c:v>
                </c:pt>
                <c:pt idx="9">
                  <c:v>2.4996080412099002</c:v>
                </c:pt>
                <c:pt idx="10">
                  <c:v>1.7869394941572738</c:v>
                </c:pt>
              </c:numCache>
            </c:numRef>
          </c:val>
          <c:smooth val="0"/>
          <c:extLst>
            <c:ext xmlns:c16="http://schemas.microsoft.com/office/drawing/2014/chart" uri="{C3380CC4-5D6E-409C-BE32-E72D297353CC}">
              <c16:uniqueId val="{00000004-AA67-4E25-B532-EC3980EADF97}"/>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seine'!$A$50</c:f>
          <c:strCache>
            <c:ptCount val="1"/>
            <c:pt idx="0">
              <c:v>Average price per tonne landed (£)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F295-4485-96E3-2E3754F8B1D4}"/>
              </c:ext>
            </c:extLst>
          </c:dPt>
          <c:dPt>
            <c:idx val="10"/>
            <c:bubble3D val="0"/>
            <c:spPr>
              <a:ln w="57150">
                <a:solidFill>
                  <a:schemeClr val="accent4"/>
                </a:solidFill>
                <a:prstDash val="sysDot"/>
              </a:ln>
            </c:spPr>
            <c:extLst>
              <c:ext xmlns:c16="http://schemas.microsoft.com/office/drawing/2014/chart" uri="{C3380CC4-5D6E-409C-BE32-E72D297353CC}">
                <c16:uniqueId val="{00000003-F295-4485-96E3-2E3754F8B1D4}"/>
              </c:ext>
            </c:extLst>
          </c:dPt>
          <c:cat>
            <c:numRef>
              <c:f>'NSWOS dem pair trawl seine'!$D$2:$M$2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 pair trawl seine'!$D$20:$N$20</c:f>
              <c:numCache>
                <c:formatCode>#,##0</c:formatCode>
                <c:ptCount val="11"/>
                <c:pt idx="0">
                  <c:v>1827</c:v>
                </c:pt>
                <c:pt idx="1">
                  <c:v>1603</c:v>
                </c:pt>
                <c:pt idx="2">
                  <c:v>1547</c:v>
                </c:pt>
                <c:pt idx="3">
                  <c:v>1700</c:v>
                </c:pt>
                <c:pt idx="4">
                  <c:v>1654</c:v>
                </c:pt>
                <c:pt idx="5">
                  <c:v>1783</c:v>
                </c:pt>
                <c:pt idx="6">
                  <c:v>1970</c:v>
                </c:pt>
                <c:pt idx="7">
                  <c:v>1845</c:v>
                </c:pt>
                <c:pt idx="8">
                  <c:v>1928</c:v>
                </c:pt>
                <c:pt idx="9">
                  <c:v>1634</c:v>
                </c:pt>
                <c:pt idx="10">
                  <c:v>1725</c:v>
                </c:pt>
              </c:numCache>
            </c:numRef>
          </c:val>
          <c:smooth val="0"/>
          <c:extLst>
            <c:ext xmlns:c16="http://schemas.microsoft.com/office/drawing/2014/chart" uri="{C3380CC4-5D6E-409C-BE32-E72D297353CC}">
              <c16:uniqueId val="{00000004-F295-4485-96E3-2E3754F8B1D4}"/>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seine'!$K$62</c:f>
          <c:strCache>
            <c:ptCount val="1"/>
            <c:pt idx="0">
              <c:v>Average annual operating profit per vessel (£'000)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4206-4E8B-AC6B-48A362745D1D}"/>
              </c:ext>
            </c:extLst>
          </c:dPt>
          <c:dPt>
            <c:idx val="10"/>
            <c:bubble3D val="0"/>
            <c:spPr>
              <a:ln w="57150">
                <a:solidFill>
                  <a:schemeClr val="accent5"/>
                </a:solidFill>
                <a:prstDash val="sysDot"/>
              </a:ln>
            </c:spPr>
            <c:extLst>
              <c:ext xmlns:c16="http://schemas.microsoft.com/office/drawing/2014/chart" uri="{C3380CC4-5D6E-409C-BE32-E72D297353CC}">
                <c16:uniqueId val="{00000003-4206-4E8B-AC6B-48A362745D1D}"/>
              </c:ext>
            </c:extLst>
          </c:dPt>
          <c:cat>
            <c:numRef>
              <c:f>'NSWOS dem pair trawl seine'!$D$2:$M$2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 pair trawl seine'!$D$37:$N$37</c:f>
              <c:numCache>
                <c:formatCode>#,##0.0</c:formatCode>
                <c:ptCount val="11"/>
                <c:pt idx="0">
                  <c:v>123.5</c:v>
                </c:pt>
                <c:pt idx="1">
                  <c:v>117.2</c:v>
                </c:pt>
                <c:pt idx="2">
                  <c:v>294.5</c:v>
                </c:pt>
                <c:pt idx="3">
                  <c:v>325.89999999999998</c:v>
                </c:pt>
                <c:pt idx="4">
                  <c:v>140.69999999999999</c:v>
                </c:pt>
                <c:pt idx="5">
                  <c:v>454.6</c:v>
                </c:pt>
                <c:pt idx="6">
                  <c:v>387.8</c:v>
                </c:pt>
                <c:pt idx="7">
                  <c:v>292.89999999999998</c:v>
                </c:pt>
                <c:pt idx="8">
                  <c:v>274.8</c:v>
                </c:pt>
                <c:pt idx="9">
                  <c:v>265.89999999999998</c:v>
                </c:pt>
                <c:pt idx="10">
                  <c:v>157.20000000000002</c:v>
                </c:pt>
              </c:numCache>
            </c:numRef>
          </c:val>
          <c:smooth val="0"/>
          <c:extLst>
            <c:ext xmlns:c16="http://schemas.microsoft.com/office/drawing/2014/chart" uri="{C3380CC4-5D6E-409C-BE32-E72D297353CC}">
              <c16:uniqueId val="{00000004-4206-4E8B-AC6B-48A362745D1D}"/>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 pair trawl seine'!$A$76</c:f>
          <c:strCache>
            <c:ptCount val="1"/>
            <c:pt idx="0">
              <c:v>Top 5 landed species by volume in 2020
NSWOS demersal pair trawl seine</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C20A-4D90-BCAC-068169704439}"/>
              </c:ext>
            </c:extLst>
          </c:dPt>
          <c:dPt>
            <c:idx val="1"/>
            <c:bubble3D val="0"/>
            <c:spPr>
              <a:solidFill>
                <a:srgbClr val="E84A38"/>
              </a:solidFill>
              <a:ln>
                <a:solidFill>
                  <a:srgbClr val="FFFFFF"/>
                </a:solidFill>
              </a:ln>
            </c:spPr>
            <c:extLst>
              <c:ext xmlns:c16="http://schemas.microsoft.com/office/drawing/2014/chart" uri="{C3380CC4-5D6E-409C-BE32-E72D297353CC}">
                <c16:uniqueId val="{00000003-C20A-4D90-BCAC-068169704439}"/>
              </c:ext>
            </c:extLst>
          </c:dPt>
          <c:dPt>
            <c:idx val="2"/>
            <c:bubble3D val="0"/>
            <c:spPr>
              <a:solidFill>
                <a:srgbClr val="648C2E"/>
              </a:solidFill>
              <a:ln>
                <a:solidFill>
                  <a:srgbClr val="FFFFFF"/>
                </a:solidFill>
              </a:ln>
            </c:spPr>
            <c:extLst>
              <c:ext xmlns:c16="http://schemas.microsoft.com/office/drawing/2014/chart" uri="{C3380CC4-5D6E-409C-BE32-E72D297353CC}">
                <c16:uniqueId val="{00000005-C20A-4D90-BCAC-068169704439}"/>
              </c:ext>
            </c:extLst>
          </c:dPt>
          <c:dPt>
            <c:idx val="3"/>
            <c:bubble3D val="0"/>
            <c:spPr>
              <a:solidFill>
                <a:srgbClr val="E87308"/>
              </a:solidFill>
              <a:ln>
                <a:solidFill>
                  <a:srgbClr val="FFFFFF"/>
                </a:solidFill>
              </a:ln>
            </c:spPr>
            <c:extLst>
              <c:ext xmlns:c16="http://schemas.microsoft.com/office/drawing/2014/chart" uri="{C3380CC4-5D6E-409C-BE32-E72D297353CC}">
                <c16:uniqueId val="{00000007-C20A-4D90-BCAC-068169704439}"/>
              </c:ext>
            </c:extLst>
          </c:dPt>
          <c:dPt>
            <c:idx val="4"/>
            <c:bubble3D val="0"/>
            <c:spPr>
              <a:solidFill>
                <a:srgbClr val="C1D119"/>
              </a:solidFill>
              <a:ln>
                <a:solidFill>
                  <a:srgbClr val="FFFFFF"/>
                </a:solidFill>
              </a:ln>
            </c:spPr>
            <c:extLst>
              <c:ext xmlns:c16="http://schemas.microsoft.com/office/drawing/2014/chart" uri="{C3380CC4-5D6E-409C-BE32-E72D297353CC}">
                <c16:uniqueId val="{00000009-C20A-4D90-BCAC-068169704439}"/>
              </c:ext>
            </c:extLst>
          </c:dPt>
          <c:dPt>
            <c:idx val="5"/>
            <c:bubble3D val="0"/>
            <c:spPr>
              <a:solidFill>
                <a:srgbClr val="55585A"/>
              </a:solidFill>
              <a:ln>
                <a:solidFill>
                  <a:srgbClr val="FFFFFF"/>
                </a:solidFill>
              </a:ln>
            </c:spPr>
            <c:extLst>
              <c:ext xmlns:c16="http://schemas.microsoft.com/office/drawing/2014/chart" uri="{C3380CC4-5D6E-409C-BE32-E72D297353CC}">
                <c16:uniqueId val="{0000000B-C20A-4D90-BCAC-068169704439}"/>
              </c:ext>
            </c:extLst>
          </c:dPt>
          <c:cat>
            <c:strRef>
              <c:f>'NSWOS dem pair trawl seine'!$B$77:$B$82</c:f>
              <c:strCache>
                <c:ptCount val="6"/>
                <c:pt idx="0">
                  <c:v>Haddock - 37.8%</c:v>
                </c:pt>
                <c:pt idx="1">
                  <c:v>Saithe - 16.7%</c:v>
                </c:pt>
                <c:pt idx="2">
                  <c:v>Whiting - 15.8%</c:v>
                </c:pt>
                <c:pt idx="3">
                  <c:v>Cod - 12.9%</c:v>
                </c:pt>
                <c:pt idx="4">
                  <c:v>Hake - 9.0%</c:v>
                </c:pt>
                <c:pt idx="5">
                  <c:v>Others - 7.8%</c:v>
                </c:pt>
              </c:strCache>
            </c:strRef>
          </c:cat>
          <c:val>
            <c:numRef>
              <c:f>'NSWOS dem pair trawl seine'!$C$77:$C$82</c:f>
              <c:numCache>
                <c:formatCode>0.0%</c:formatCode>
                <c:ptCount val="6"/>
                <c:pt idx="0">
                  <c:v>0.37814689023581693</c:v>
                </c:pt>
                <c:pt idx="1">
                  <c:v>0.16738958847301463</c:v>
                </c:pt>
                <c:pt idx="2">
                  <c:v>0.15752129028783046</c:v>
                </c:pt>
                <c:pt idx="3">
                  <c:v>0.12925003135268279</c:v>
                </c:pt>
                <c:pt idx="4">
                  <c:v>8.9591685334568905E-2</c:v>
                </c:pt>
                <c:pt idx="5">
                  <c:v>7.8100514316086223E-2</c:v>
                </c:pt>
              </c:numCache>
            </c:numRef>
          </c:val>
          <c:extLst>
            <c:ext xmlns:c16="http://schemas.microsoft.com/office/drawing/2014/chart" uri="{C3380CC4-5D6E-409C-BE32-E72D297353CC}">
              <c16:uniqueId val="{0000000C-C20A-4D90-BCAC-068169704439}"/>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 pair trawl seine'!$F$76</c:f>
          <c:strCache>
            <c:ptCount val="1"/>
            <c:pt idx="0">
              <c:v>Top 5 landed species by value in 2020
NSWOS demersal pair trawl seine</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3C4A-46F5-A114-ECBD69599EAC}"/>
              </c:ext>
            </c:extLst>
          </c:dPt>
          <c:dPt>
            <c:idx val="1"/>
            <c:bubble3D val="0"/>
            <c:spPr>
              <a:solidFill>
                <a:srgbClr val="E87308"/>
              </a:solidFill>
              <a:ln>
                <a:solidFill>
                  <a:srgbClr val="FFFFFF"/>
                </a:solidFill>
              </a:ln>
            </c:spPr>
            <c:extLst>
              <c:ext xmlns:c16="http://schemas.microsoft.com/office/drawing/2014/chart" uri="{C3380CC4-5D6E-409C-BE32-E72D297353CC}">
                <c16:uniqueId val="{00000003-3C4A-46F5-A114-ECBD69599EAC}"/>
              </c:ext>
            </c:extLst>
          </c:dPt>
          <c:dPt>
            <c:idx val="2"/>
            <c:bubble3D val="0"/>
            <c:spPr>
              <a:solidFill>
                <a:srgbClr val="648C2E"/>
              </a:solidFill>
              <a:ln>
                <a:solidFill>
                  <a:srgbClr val="FFFFFF"/>
                </a:solidFill>
              </a:ln>
            </c:spPr>
            <c:extLst>
              <c:ext xmlns:c16="http://schemas.microsoft.com/office/drawing/2014/chart" uri="{C3380CC4-5D6E-409C-BE32-E72D297353CC}">
                <c16:uniqueId val="{00000005-3C4A-46F5-A114-ECBD69599EAC}"/>
              </c:ext>
            </c:extLst>
          </c:dPt>
          <c:dPt>
            <c:idx val="3"/>
            <c:bubble3D val="0"/>
            <c:spPr>
              <a:solidFill>
                <a:srgbClr val="C1D119"/>
              </a:solidFill>
              <a:ln>
                <a:solidFill>
                  <a:srgbClr val="FFFFFF"/>
                </a:solidFill>
              </a:ln>
            </c:spPr>
            <c:extLst>
              <c:ext xmlns:c16="http://schemas.microsoft.com/office/drawing/2014/chart" uri="{C3380CC4-5D6E-409C-BE32-E72D297353CC}">
                <c16:uniqueId val="{00000007-3C4A-46F5-A114-ECBD69599EAC}"/>
              </c:ext>
            </c:extLst>
          </c:dPt>
          <c:dPt>
            <c:idx val="4"/>
            <c:bubble3D val="0"/>
            <c:spPr>
              <a:solidFill>
                <a:srgbClr val="E84A38"/>
              </a:solidFill>
              <a:ln>
                <a:solidFill>
                  <a:srgbClr val="FFFFFF"/>
                </a:solidFill>
              </a:ln>
            </c:spPr>
            <c:extLst>
              <c:ext xmlns:c16="http://schemas.microsoft.com/office/drawing/2014/chart" uri="{C3380CC4-5D6E-409C-BE32-E72D297353CC}">
                <c16:uniqueId val="{00000009-3C4A-46F5-A114-ECBD69599EAC}"/>
              </c:ext>
            </c:extLst>
          </c:dPt>
          <c:dPt>
            <c:idx val="5"/>
            <c:bubble3D val="0"/>
            <c:spPr>
              <a:solidFill>
                <a:srgbClr val="55585A"/>
              </a:solidFill>
              <a:ln>
                <a:solidFill>
                  <a:srgbClr val="FFFFFF"/>
                </a:solidFill>
              </a:ln>
            </c:spPr>
            <c:extLst>
              <c:ext xmlns:c16="http://schemas.microsoft.com/office/drawing/2014/chart" uri="{C3380CC4-5D6E-409C-BE32-E72D297353CC}">
                <c16:uniqueId val="{0000000B-3C4A-46F5-A114-ECBD69599EAC}"/>
              </c:ext>
            </c:extLst>
          </c:dPt>
          <c:cat>
            <c:strRef>
              <c:f>'NSWOS dem pair trawl seine'!$G$77:$G$82</c:f>
              <c:strCache>
                <c:ptCount val="6"/>
                <c:pt idx="0">
                  <c:v>Haddock - 32.5%</c:v>
                </c:pt>
                <c:pt idx="1">
                  <c:v>Cod - 22.8%</c:v>
                </c:pt>
                <c:pt idx="2">
                  <c:v>Whiting - 12.1%</c:v>
                </c:pt>
                <c:pt idx="3">
                  <c:v>Hake - 11.2%</c:v>
                </c:pt>
                <c:pt idx="4">
                  <c:v>Saithe - 10.7%</c:v>
                </c:pt>
                <c:pt idx="5">
                  <c:v>Others - 10.7%</c:v>
                </c:pt>
              </c:strCache>
            </c:strRef>
          </c:cat>
          <c:val>
            <c:numRef>
              <c:f>'NSWOS dem pair trawl seine'!$H$77:$H$82</c:f>
              <c:numCache>
                <c:formatCode>0.0%</c:formatCode>
                <c:ptCount val="6"/>
                <c:pt idx="0">
                  <c:v>0.3253529253693983</c:v>
                </c:pt>
                <c:pt idx="1">
                  <c:v>0.22835233087190512</c:v>
                </c:pt>
                <c:pt idx="2">
                  <c:v>0.12140537228795029</c:v>
                </c:pt>
                <c:pt idx="3">
                  <c:v>0.1117829564194686</c:v>
                </c:pt>
                <c:pt idx="4">
                  <c:v>0.10651307204278909</c:v>
                </c:pt>
                <c:pt idx="5">
                  <c:v>0.10659334300848866</c:v>
                </c:pt>
              </c:numCache>
            </c:numRef>
          </c:val>
          <c:extLst>
            <c:ext xmlns:c16="http://schemas.microsoft.com/office/drawing/2014/chart" uri="{C3380CC4-5D6E-409C-BE32-E72D297353CC}">
              <c16:uniqueId val="{0000000C-3C4A-46F5-A114-ECBD69599EAC}"/>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 pair trawl seine'!$K$77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 pair trawl seine'!$C$92</c:f>
              <c:strCache>
                <c:ptCount val="1"/>
                <c:pt idx="0">
                  <c:v>Haddock</c:v>
                </c:pt>
              </c:strCache>
            </c:strRef>
          </c:tx>
          <c:spPr>
            <a:solidFill>
              <a:srgbClr val="2273B9"/>
            </a:solidFill>
            <a:ln>
              <a:solidFill>
                <a:srgbClr val="FFFFFF"/>
              </a:solidFill>
            </a:ln>
          </c:spPr>
          <c:invertIfNegative val="0"/>
          <c:cat>
            <c:numRef>
              <c:f>'NSWOS dem pair trawl seine'!$D$91:$M$91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 pair trawl seine'!$D$92:$M$92</c:f>
              <c:numCache>
                <c:formatCode>0%</c:formatCode>
                <c:ptCount val="10"/>
                <c:pt idx="0">
                  <c:v>0.35239735739472361</c:v>
                </c:pt>
                <c:pt idx="1">
                  <c:v>0.43569989956170779</c:v>
                </c:pt>
                <c:pt idx="2">
                  <c:v>0.45572136728729962</c:v>
                </c:pt>
                <c:pt idx="3">
                  <c:v>0.39313096614794296</c:v>
                </c:pt>
                <c:pt idx="4">
                  <c:v>0.31525322249881704</c:v>
                </c:pt>
                <c:pt idx="5">
                  <c:v>0.31165261645158288</c:v>
                </c:pt>
                <c:pt idx="6">
                  <c:v>0.26997341836128275</c:v>
                </c:pt>
                <c:pt idx="7">
                  <c:v>0.28056569032451667</c:v>
                </c:pt>
                <c:pt idx="8">
                  <c:v>0.3253529253693983</c:v>
                </c:pt>
                <c:pt idx="9">
                  <c:v>0.2945343239254592</c:v>
                </c:pt>
              </c:numCache>
            </c:numRef>
          </c:val>
          <c:extLst>
            <c:ext xmlns:c16="http://schemas.microsoft.com/office/drawing/2014/chart" uri="{C3380CC4-5D6E-409C-BE32-E72D297353CC}">
              <c16:uniqueId val="{00000000-8035-411D-9619-40F7373DF382}"/>
            </c:ext>
          </c:extLst>
        </c:ser>
        <c:ser>
          <c:idx val="1"/>
          <c:order val="1"/>
          <c:tx>
            <c:strRef>
              <c:f>'NSWOS dem pair trawl seine'!$C$93</c:f>
              <c:strCache>
                <c:ptCount val="1"/>
                <c:pt idx="0">
                  <c:v>Cod</c:v>
                </c:pt>
              </c:strCache>
            </c:strRef>
          </c:tx>
          <c:spPr>
            <a:solidFill>
              <a:srgbClr val="E87308"/>
            </a:solidFill>
            <a:ln>
              <a:solidFill>
                <a:srgbClr val="FFFFFF"/>
              </a:solidFill>
            </a:ln>
          </c:spPr>
          <c:invertIfNegative val="0"/>
          <c:cat>
            <c:numRef>
              <c:f>'NSWOS dem pair trawl seine'!$D$91:$M$91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 pair trawl seine'!$D$93:$M$93</c:f>
              <c:numCache>
                <c:formatCode>0%</c:formatCode>
                <c:ptCount val="10"/>
                <c:pt idx="0">
                  <c:v>0.272732262837241</c:v>
                </c:pt>
                <c:pt idx="1">
                  <c:v>0.24821049059428049</c:v>
                </c:pt>
                <c:pt idx="2">
                  <c:v>0.25206868056234105</c:v>
                </c:pt>
                <c:pt idx="3">
                  <c:v>0.27458945988326627</c:v>
                </c:pt>
                <c:pt idx="4">
                  <c:v>0.30305407697875503</c:v>
                </c:pt>
                <c:pt idx="5">
                  <c:v>0.30344021761794321</c:v>
                </c:pt>
                <c:pt idx="6">
                  <c:v>0.29539099634776611</c:v>
                </c:pt>
                <c:pt idx="7">
                  <c:v>0.25100644174834608</c:v>
                </c:pt>
                <c:pt idx="8">
                  <c:v>0.22835233087190512</c:v>
                </c:pt>
                <c:pt idx="9">
                  <c:v>0.25904665623273421</c:v>
                </c:pt>
              </c:numCache>
            </c:numRef>
          </c:val>
          <c:extLst>
            <c:ext xmlns:c16="http://schemas.microsoft.com/office/drawing/2014/chart" uri="{C3380CC4-5D6E-409C-BE32-E72D297353CC}">
              <c16:uniqueId val="{00000001-8035-411D-9619-40F7373DF382}"/>
            </c:ext>
          </c:extLst>
        </c:ser>
        <c:ser>
          <c:idx val="2"/>
          <c:order val="2"/>
          <c:tx>
            <c:strRef>
              <c:f>'NSWOS dem pair trawl seine'!$C$94</c:f>
              <c:strCache>
                <c:ptCount val="1"/>
                <c:pt idx="0">
                  <c:v>Whiting</c:v>
                </c:pt>
              </c:strCache>
            </c:strRef>
          </c:tx>
          <c:spPr>
            <a:solidFill>
              <a:srgbClr val="648C2E"/>
            </a:solidFill>
            <a:ln>
              <a:solidFill>
                <a:srgbClr val="FFFFFF"/>
              </a:solidFill>
            </a:ln>
          </c:spPr>
          <c:invertIfNegative val="0"/>
          <c:cat>
            <c:numRef>
              <c:f>'NSWOS dem pair trawl seine'!$D$91:$M$91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 pair trawl seine'!$D$94:$M$94</c:f>
              <c:numCache>
                <c:formatCode>0%</c:formatCode>
                <c:ptCount val="10"/>
                <c:pt idx="0">
                  <c:v>0.10502281906001214</c:v>
                </c:pt>
                <c:pt idx="1">
                  <c:v>0.10149966814764605</c:v>
                </c:pt>
                <c:pt idx="2">
                  <c:v>8.3691051558998947E-2</c:v>
                </c:pt>
                <c:pt idx="3">
                  <c:v>8.2947646164777192E-2</c:v>
                </c:pt>
                <c:pt idx="4">
                  <c:v>7.1452072226729751E-2</c:v>
                </c:pt>
                <c:pt idx="5">
                  <c:v>7.4098710179027971E-2</c:v>
                </c:pt>
                <c:pt idx="6">
                  <c:v>8.7831940893330671E-2</c:v>
                </c:pt>
                <c:pt idx="7">
                  <c:v>0.1104232485459099</c:v>
                </c:pt>
                <c:pt idx="8">
                  <c:v>0.12140537228795029</c:v>
                </c:pt>
                <c:pt idx="9">
                  <c:v>0.17441946821694745</c:v>
                </c:pt>
              </c:numCache>
            </c:numRef>
          </c:val>
          <c:extLst>
            <c:ext xmlns:c16="http://schemas.microsoft.com/office/drawing/2014/chart" uri="{C3380CC4-5D6E-409C-BE32-E72D297353CC}">
              <c16:uniqueId val="{00000002-8035-411D-9619-40F7373DF382}"/>
            </c:ext>
          </c:extLst>
        </c:ser>
        <c:ser>
          <c:idx val="3"/>
          <c:order val="3"/>
          <c:tx>
            <c:strRef>
              <c:f>'NSWOS dem pair trawl seine'!$C$95</c:f>
              <c:strCache>
                <c:ptCount val="1"/>
                <c:pt idx="0">
                  <c:v>Hake</c:v>
                </c:pt>
              </c:strCache>
            </c:strRef>
          </c:tx>
          <c:spPr>
            <a:solidFill>
              <a:srgbClr val="C1D119"/>
            </a:solidFill>
            <a:ln>
              <a:solidFill>
                <a:srgbClr val="FFFFFF"/>
              </a:solidFill>
            </a:ln>
          </c:spPr>
          <c:invertIfNegative val="0"/>
          <c:cat>
            <c:numRef>
              <c:f>'NSWOS dem pair trawl seine'!$D$91:$M$91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 pair trawl seine'!$D$95:$M$95</c:f>
              <c:numCache>
                <c:formatCode>0%</c:formatCode>
                <c:ptCount val="10"/>
                <c:pt idx="0">
                  <c:v>0.10323048257790415</c:v>
                </c:pt>
                <c:pt idx="1">
                  <c:v>6.5939526086595812E-2</c:v>
                </c:pt>
                <c:pt idx="2">
                  <c:v>7.5130450908800009E-2</c:v>
                </c:pt>
                <c:pt idx="3">
                  <c:v>8.6951573196641152E-2</c:v>
                </c:pt>
                <c:pt idx="4">
                  <c:v>0.11397079997032863</c:v>
                </c:pt>
                <c:pt idx="5">
                  <c:v>0.13633657683190104</c:v>
                </c:pt>
                <c:pt idx="6">
                  <c:v>0.13665158339448044</c:v>
                </c:pt>
                <c:pt idx="7">
                  <c:v>0.13978991082757575</c:v>
                </c:pt>
                <c:pt idx="8">
                  <c:v>0.1117829564194686</c:v>
                </c:pt>
                <c:pt idx="9">
                  <c:v>8.3245841760980099E-2</c:v>
                </c:pt>
              </c:numCache>
            </c:numRef>
          </c:val>
          <c:extLst>
            <c:ext xmlns:c16="http://schemas.microsoft.com/office/drawing/2014/chart" uri="{C3380CC4-5D6E-409C-BE32-E72D297353CC}">
              <c16:uniqueId val="{00000003-8035-411D-9619-40F7373DF382}"/>
            </c:ext>
          </c:extLst>
        </c:ser>
        <c:ser>
          <c:idx val="4"/>
          <c:order val="4"/>
          <c:tx>
            <c:strRef>
              <c:f>'NSWOS dem pair trawl seine'!$C$96</c:f>
              <c:strCache>
                <c:ptCount val="1"/>
                <c:pt idx="0">
                  <c:v>Saithe</c:v>
                </c:pt>
              </c:strCache>
            </c:strRef>
          </c:tx>
          <c:spPr>
            <a:solidFill>
              <a:srgbClr val="E84A38"/>
            </a:solidFill>
            <a:ln>
              <a:solidFill>
                <a:srgbClr val="FFFFFF"/>
              </a:solidFill>
            </a:ln>
          </c:spPr>
          <c:invertIfNegative val="0"/>
          <c:cat>
            <c:numRef>
              <c:f>'NSWOS dem pair trawl seine'!$D$91:$M$91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 pair trawl seine'!$D$96:$M$96</c:f>
              <c:numCache>
                <c:formatCode>0%</c:formatCode>
                <c:ptCount val="10"/>
                <c:pt idx="0">
                  <c:v>8.346386482172731E-2</c:v>
                </c:pt>
                <c:pt idx="1">
                  <c:v>7.9000062001669855E-2</c:v>
                </c:pt>
                <c:pt idx="2">
                  <c:v>7.4743093822931927E-2</c:v>
                </c:pt>
                <c:pt idx="3">
                  <c:v>7.8761213691446952E-2</c:v>
                </c:pt>
                <c:pt idx="4">
                  <c:v>7.8732786348224768E-2</c:v>
                </c:pt>
                <c:pt idx="5">
                  <c:v>6.0383455791543569E-2</c:v>
                </c:pt>
                <c:pt idx="6">
                  <c:v>8.3616553680395903E-2</c:v>
                </c:pt>
                <c:pt idx="7">
                  <c:v>0.1078691922029922</c:v>
                </c:pt>
                <c:pt idx="8">
                  <c:v>0.10651307204278909</c:v>
                </c:pt>
                <c:pt idx="9">
                  <c:v>9.9357965952689184E-2</c:v>
                </c:pt>
              </c:numCache>
            </c:numRef>
          </c:val>
          <c:extLst>
            <c:ext xmlns:c16="http://schemas.microsoft.com/office/drawing/2014/chart" uri="{C3380CC4-5D6E-409C-BE32-E72D297353CC}">
              <c16:uniqueId val="{00000004-8035-411D-9619-40F7373DF382}"/>
            </c:ext>
          </c:extLst>
        </c:ser>
        <c:ser>
          <c:idx val="5"/>
          <c:order val="5"/>
          <c:tx>
            <c:strRef>
              <c:f>'NSWOS dem pair trawl seine'!$C$97</c:f>
              <c:strCache>
                <c:ptCount val="1"/>
                <c:pt idx="0">
                  <c:v>Others</c:v>
                </c:pt>
              </c:strCache>
            </c:strRef>
          </c:tx>
          <c:spPr>
            <a:solidFill>
              <a:srgbClr val="55585A"/>
            </a:solidFill>
            <a:ln>
              <a:solidFill>
                <a:srgbClr val="FFFFFF"/>
              </a:solidFill>
            </a:ln>
          </c:spPr>
          <c:invertIfNegative val="0"/>
          <c:cat>
            <c:numRef>
              <c:f>'NSWOS dem pair trawl seine'!$D$91:$M$91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 pair trawl seine'!$D$97:$M$97</c:f>
              <c:numCache>
                <c:formatCode>0%</c:formatCode>
                <c:ptCount val="10"/>
                <c:pt idx="0">
                  <c:v>8.315321330839176E-2</c:v>
                </c:pt>
                <c:pt idx="1">
                  <c:v>6.9650353608100027E-2</c:v>
                </c:pt>
                <c:pt idx="2">
                  <c:v>5.8645355859628427E-2</c:v>
                </c:pt>
                <c:pt idx="3">
                  <c:v>8.3619140915925441E-2</c:v>
                </c:pt>
                <c:pt idx="4">
                  <c:v>0.11753704197714476</c:v>
                </c:pt>
                <c:pt idx="5">
                  <c:v>0.11408842312800131</c:v>
                </c:pt>
                <c:pt idx="6">
                  <c:v>0.1265355073227441</c:v>
                </c:pt>
                <c:pt idx="7">
                  <c:v>0.11034551635065941</c:v>
                </c:pt>
                <c:pt idx="8">
                  <c:v>0.10659334300848862</c:v>
                </c:pt>
                <c:pt idx="9">
                  <c:v>8.9395743911189873E-2</c:v>
                </c:pt>
              </c:numCache>
            </c:numRef>
          </c:val>
          <c:extLst>
            <c:ext xmlns:c16="http://schemas.microsoft.com/office/drawing/2014/chart" uri="{C3380CC4-5D6E-409C-BE32-E72D297353CC}">
              <c16:uniqueId val="{00000005-8035-411D-9619-40F7373DF382}"/>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'NSWOS dem pair trawl seine'!$B$162</c:f>
              <c:strCache>
                <c:ptCount val="1"/>
                <c:pt idx="0">
                  <c:v>Haddock</c:v>
                </c:pt>
              </c:strCache>
            </c:strRef>
          </c:tx>
          <c:spPr>
            <a:solidFill>
              <a:srgbClr val="2273B9"/>
            </a:solidFill>
            <a:ln>
              <a:solidFill>
                <a:srgbClr val="FFFFFF"/>
              </a:solidFill>
            </a:ln>
          </c:spPr>
          <c:invertIfNegative val="0"/>
          <c:cat>
            <c:strRef>
              <c:f>'NSWOS dem pair trawl seine'!$C$161:$E$161</c:f>
              <c:strCache>
                <c:ptCount val="3"/>
                <c:pt idx="0">
                  <c:v>Most
profitable
quartile</c:v>
                </c:pt>
                <c:pt idx="1">
                  <c:v>Middle 
two quartiles</c:v>
                </c:pt>
                <c:pt idx="2">
                  <c:v>Least
profitable
quartile</c:v>
                </c:pt>
              </c:strCache>
            </c:strRef>
          </c:cat>
          <c:val>
            <c:numRef>
              <c:f>'NSWOS dem pair trawl seine'!$C$162:$E$162</c:f>
              <c:numCache>
                <c:formatCode>0%</c:formatCode>
                <c:ptCount val="3"/>
                <c:pt idx="0">
                  <c:v>0.32787420702696041</c:v>
                </c:pt>
                <c:pt idx="1">
                  <c:v>0.43978256372426705</c:v>
                </c:pt>
                <c:pt idx="2">
                  <c:v>0.35297600649171801</c:v>
                </c:pt>
              </c:numCache>
            </c:numRef>
          </c:val>
          <c:extLst>
            <c:ext xmlns:c16="http://schemas.microsoft.com/office/drawing/2014/chart" uri="{C3380CC4-5D6E-409C-BE32-E72D297353CC}">
              <c16:uniqueId val="{00000000-E7CC-4318-8BB7-826DC968EE87}"/>
            </c:ext>
          </c:extLst>
        </c:ser>
        <c:ser>
          <c:idx val="1"/>
          <c:order val="1"/>
          <c:tx>
            <c:strRef>
              <c:f>'NSWOS dem pair trawl seine'!$B$163</c:f>
              <c:strCache>
                <c:ptCount val="1"/>
                <c:pt idx="0">
                  <c:v>Whiting</c:v>
                </c:pt>
              </c:strCache>
            </c:strRef>
          </c:tx>
          <c:spPr>
            <a:solidFill>
              <a:srgbClr val="648C2E"/>
            </a:solidFill>
            <a:ln>
              <a:solidFill>
                <a:srgbClr val="FFFFFF"/>
              </a:solidFill>
            </a:ln>
          </c:spPr>
          <c:invertIfNegative val="0"/>
          <c:cat>
            <c:strRef>
              <c:f>'NSWOS dem pair trawl seine'!$C$161:$E$161</c:f>
              <c:strCache>
                <c:ptCount val="3"/>
                <c:pt idx="0">
                  <c:v>Most
profitable
quartile</c:v>
                </c:pt>
                <c:pt idx="1">
                  <c:v>Middle 
two quartiles</c:v>
                </c:pt>
                <c:pt idx="2">
                  <c:v>Least
profitable
quartile</c:v>
                </c:pt>
              </c:strCache>
            </c:strRef>
          </c:cat>
          <c:val>
            <c:numRef>
              <c:f>'NSWOS dem pair trawl seine'!$C$163:$E$163</c:f>
              <c:numCache>
                <c:formatCode>0%</c:formatCode>
                <c:ptCount val="3"/>
                <c:pt idx="0">
                  <c:v>0.12595988791286963</c:v>
                </c:pt>
                <c:pt idx="1">
                  <c:v>0.18568051955480946</c:v>
                </c:pt>
                <c:pt idx="2">
                  <c:v>0.16737783039086795</c:v>
                </c:pt>
              </c:numCache>
            </c:numRef>
          </c:val>
          <c:extLst>
            <c:ext xmlns:c16="http://schemas.microsoft.com/office/drawing/2014/chart" uri="{C3380CC4-5D6E-409C-BE32-E72D297353CC}">
              <c16:uniqueId val="{00000001-E7CC-4318-8BB7-826DC968EE87}"/>
            </c:ext>
          </c:extLst>
        </c:ser>
        <c:ser>
          <c:idx val="2"/>
          <c:order val="2"/>
          <c:tx>
            <c:strRef>
              <c:f>'NSWOS dem pair trawl seine'!$B$164</c:f>
              <c:strCache>
                <c:ptCount val="1"/>
                <c:pt idx="0">
                  <c:v>Saithe</c:v>
                </c:pt>
              </c:strCache>
            </c:strRef>
          </c:tx>
          <c:spPr>
            <a:solidFill>
              <a:srgbClr val="E84A38"/>
            </a:solidFill>
            <a:ln>
              <a:solidFill>
                <a:srgbClr val="FFFFFF"/>
              </a:solidFill>
            </a:ln>
          </c:spPr>
          <c:invertIfNegative val="0"/>
          <c:cat>
            <c:strRef>
              <c:f>'NSWOS dem pair trawl seine'!$C$161:$E$161</c:f>
              <c:strCache>
                <c:ptCount val="3"/>
                <c:pt idx="0">
                  <c:v>Most
profitable
quartile</c:v>
                </c:pt>
                <c:pt idx="1">
                  <c:v>Middle 
two quartiles</c:v>
                </c:pt>
                <c:pt idx="2">
                  <c:v>Least
profitable
quartile</c:v>
                </c:pt>
              </c:strCache>
            </c:strRef>
          </c:cat>
          <c:val>
            <c:numRef>
              <c:f>'NSWOS dem pair trawl seine'!$C$164:$E$164</c:f>
              <c:numCache>
                <c:formatCode>0%</c:formatCode>
                <c:ptCount val="3"/>
                <c:pt idx="0">
                  <c:v>0.21325187016849692</c:v>
                </c:pt>
                <c:pt idx="1">
                  <c:v>0.14521807876193174</c:v>
                </c:pt>
                <c:pt idx="2">
                  <c:v>0.10464343950032694</c:v>
                </c:pt>
              </c:numCache>
            </c:numRef>
          </c:val>
          <c:extLst>
            <c:ext xmlns:c16="http://schemas.microsoft.com/office/drawing/2014/chart" uri="{C3380CC4-5D6E-409C-BE32-E72D297353CC}">
              <c16:uniqueId val="{00000002-E7CC-4318-8BB7-826DC968EE87}"/>
            </c:ext>
          </c:extLst>
        </c:ser>
        <c:ser>
          <c:idx val="3"/>
          <c:order val="3"/>
          <c:tx>
            <c:strRef>
              <c:f>'NSWOS dem pair trawl seine'!$B$165</c:f>
              <c:strCache>
                <c:ptCount val="1"/>
                <c:pt idx="0">
                  <c:v>Cod</c:v>
                </c:pt>
              </c:strCache>
            </c:strRef>
          </c:tx>
          <c:spPr>
            <a:solidFill>
              <a:srgbClr val="E87308"/>
            </a:solidFill>
            <a:ln>
              <a:solidFill>
                <a:srgbClr val="FFFFFF"/>
              </a:solidFill>
            </a:ln>
          </c:spPr>
          <c:invertIfNegative val="0"/>
          <c:cat>
            <c:strRef>
              <c:f>'NSWOS dem pair trawl seine'!$C$161:$E$161</c:f>
              <c:strCache>
                <c:ptCount val="3"/>
                <c:pt idx="0">
                  <c:v>Most
profitable
quartile</c:v>
                </c:pt>
                <c:pt idx="1">
                  <c:v>Middle 
two quartiles</c:v>
                </c:pt>
                <c:pt idx="2">
                  <c:v>Least
profitable
quartile</c:v>
                </c:pt>
              </c:strCache>
            </c:strRef>
          </c:cat>
          <c:val>
            <c:numRef>
              <c:f>'NSWOS dem pair trawl seine'!$C$165:$E$165</c:f>
              <c:numCache>
                <c:formatCode>0%</c:formatCode>
                <c:ptCount val="3"/>
                <c:pt idx="0">
                  <c:v>0.13090300084620476</c:v>
                </c:pt>
                <c:pt idx="1">
                  <c:v>0.13800622513305957</c:v>
                </c:pt>
                <c:pt idx="2">
                  <c:v>0.10316494161150976</c:v>
                </c:pt>
              </c:numCache>
            </c:numRef>
          </c:val>
          <c:extLst>
            <c:ext xmlns:c16="http://schemas.microsoft.com/office/drawing/2014/chart" uri="{C3380CC4-5D6E-409C-BE32-E72D297353CC}">
              <c16:uniqueId val="{00000003-E7CC-4318-8BB7-826DC968EE87}"/>
            </c:ext>
          </c:extLst>
        </c:ser>
        <c:ser>
          <c:idx val="4"/>
          <c:order val="4"/>
          <c:tx>
            <c:strRef>
              <c:f>'NSWOS dem pair trawl seine'!$B$166</c:f>
              <c:strCache>
                <c:ptCount val="1"/>
                <c:pt idx="0">
                  <c:v>Hake</c:v>
                </c:pt>
              </c:strCache>
            </c:strRef>
          </c:tx>
          <c:spPr>
            <a:solidFill>
              <a:srgbClr val="C1D119"/>
            </a:solidFill>
            <a:ln>
              <a:solidFill>
                <a:srgbClr val="FFFFFF"/>
              </a:solidFill>
            </a:ln>
          </c:spPr>
          <c:invertIfNegative val="0"/>
          <c:cat>
            <c:strRef>
              <c:f>'NSWOS dem pair trawl seine'!$C$161:$E$161</c:f>
              <c:strCache>
                <c:ptCount val="3"/>
                <c:pt idx="0">
                  <c:v>Most
profitable
quartile</c:v>
                </c:pt>
                <c:pt idx="1">
                  <c:v>Middle 
two quartiles</c:v>
                </c:pt>
                <c:pt idx="2">
                  <c:v>Least
profitable
quartile</c:v>
                </c:pt>
              </c:strCache>
            </c:strRef>
          </c:cat>
          <c:val>
            <c:numRef>
              <c:f>'NSWOS dem pair trawl seine'!$C$166:$E$166</c:f>
              <c:numCache>
                <c:formatCode>0%</c:formatCode>
                <c:ptCount val="3"/>
                <c:pt idx="0">
                  <c:v>0.13214338897305686</c:v>
                </c:pt>
                <c:pt idx="1">
                  <c:v>5.2702321887143681E-2</c:v>
                </c:pt>
                <c:pt idx="2">
                  <c:v>7.0484586484871284E-2</c:v>
                </c:pt>
              </c:numCache>
            </c:numRef>
          </c:val>
          <c:extLst>
            <c:ext xmlns:c16="http://schemas.microsoft.com/office/drawing/2014/chart" uri="{C3380CC4-5D6E-409C-BE32-E72D297353CC}">
              <c16:uniqueId val="{00000004-E7CC-4318-8BB7-826DC968EE87}"/>
            </c:ext>
          </c:extLst>
        </c:ser>
        <c:ser>
          <c:idx val="5"/>
          <c:order val="5"/>
          <c:tx>
            <c:strRef>
              <c:f>'NSWOS dem pair trawl seine'!$B$167</c:f>
              <c:strCache>
                <c:ptCount val="1"/>
                <c:pt idx="0">
                  <c:v>Others</c:v>
                </c:pt>
              </c:strCache>
            </c:strRef>
          </c:tx>
          <c:spPr>
            <a:solidFill>
              <a:srgbClr val="55585A"/>
            </a:solidFill>
            <a:ln>
              <a:solidFill>
                <a:srgbClr val="FFFFFF"/>
              </a:solidFill>
            </a:ln>
          </c:spPr>
          <c:invertIfNegative val="0"/>
          <c:cat>
            <c:strRef>
              <c:f>'NSWOS dem pair trawl seine'!$C$161:$E$161</c:f>
              <c:strCache>
                <c:ptCount val="3"/>
                <c:pt idx="0">
                  <c:v>Most
profitable
quartile</c:v>
                </c:pt>
                <c:pt idx="1">
                  <c:v>Middle 
two quartiles</c:v>
                </c:pt>
                <c:pt idx="2">
                  <c:v>Least
profitable
quartile</c:v>
                </c:pt>
              </c:strCache>
            </c:strRef>
          </c:cat>
          <c:val>
            <c:numRef>
              <c:f>'NSWOS dem pair trawl seine'!$C$167:$E$167</c:f>
              <c:numCache>
                <c:formatCode>0%</c:formatCode>
                <c:ptCount val="3"/>
                <c:pt idx="0">
                  <c:v>6.9867645072411388E-2</c:v>
                </c:pt>
                <c:pt idx="1">
                  <c:v>3.8610290938788538E-2</c:v>
                </c:pt>
                <c:pt idx="2">
                  <c:v>0.20135319552070596</c:v>
                </c:pt>
              </c:numCache>
            </c:numRef>
          </c:val>
          <c:extLst>
            <c:ext xmlns:c16="http://schemas.microsoft.com/office/drawing/2014/chart" uri="{C3380CC4-5D6E-409C-BE32-E72D297353CC}">
              <c16:uniqueId val="{00000005-E7CC-4318-8BB7-826DC968EE87}"/>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'NSWOS dem pair trawl seine'!$H$162</c:f>
              <c:strCache>
                <c:ptCount val="1"/>
                <c:pt idx="0">
                  <c:v>Haddock</c:v>
                </c:pt>
              </c:strCache>
            </c:strRef>
          </c:tx>
          <c:spPr>
            <a:solidFill>
              <a:srgbClr val="2273B9"/>
            </a:solidFill>
            <a:ln>
              <a:solidFill>
                <a:srgbClr val="FFFFFF"/>
              </a:solidFill>
            </a:ln>
          </c:spPr>
          <c:invertIfNegative val="0"/>
          <c:cat>
            <c:strRef>
              <c:f>'NSWOS dem pair trawl seine'!$I$161:$K$161</c:f>
              <c:strCache>
                <c:ptCount val="3"/>
                <c:pt idx="0">
                  <c:v>Most
profitable
quartile</c:v>
                </c:pt>
                <c:pt idx="1">
                  <c:v>Middle 
two quartiles</c:v>
                </c:pt>
                <c:pt idx="2">
                  <c:v>Least
profitable
quartile</c:v>
                </c:pt>
              </c:strCache>
            </c:strRef>
          </c:cat>
          <c:val>
            <c:numRef>
              <c:f>'NSWOS dem pair trawl seine'!$I$162:$K$162</c:f>
              <c:numCache>
                <c:formatCode>0%</c:formatCode>
                <c:ptCount val="3"/>
                <c:pt idx="0">
                  <c:v>0.28970309018236123</c:v>
                </c:pt>
                <c:pt idx="1">
                  <c:v>0.38217160040577236</c:v>
                </c:pt>
                <c:pt idx="2">
                  <c:v>0.25561801109302701</c:v>
                </c:pt>
              </c:numCache>
            </c:numRef>
          </c:val>
          <c:extLst>
            <c:ext xmlns:c16="http://schemas.microsoft.com/office/drawing/2014/chart" uri="{C3380CC4-5D6E-409C-BE32-E72D297353CC}">
              <c16:uniqueId val="{00000000-A3D1-435C-8DB4-7A828A933960}"/>
            </c:ext>
          </c:extLst>
        </c:ser>
        <c:ser>
          <c:idx val="1"/>
          <c:order val="1"/>
          <c:tx>
            <c:strRef>
              <c:f>'NSWOS dem pair trawl seine'!$H$163</c:f>
              <c:strCache>
                <c:ptCount val="1"/>
                <c:pt idx="0">
                  <c:v>Cod</c:v>
                </c:pt>
              </c:strCache>
            </c:strRef>
          </c:tx>
          <c:spPr>
            <a:solidFill>
              <a:srgbClr val="E87308"/>
            </a:solidFill>
            <a:ln>
              <a:solidFill>
                <a:srgbClr val="FFFFFF"/>
              </a:solidFill>
            </a:ln>
          </c:spPr>
          <c:invertIfNegative val="0"/>
          <c:cat>
            <c:strRef>
              <c:f>'NSWOS dem pair trawl seine'!$I$161:$K$161</c:f>
              <c:strCache>
                <c:ptCount val="3"/>
                <c:pt idx="0">
                  <c:v>Most
profitable
quartile</c:v>
                </c:pt>
                <c:pt idx="1">
                  <c:v>Middle 
two quartiles</c:v>
                </c:pt>
                <c:pt idx="2">
                  <c:v>Least
profitable
quartile</c:v>
                </c:pt>
              </c:strCache>
            </c:strRef>
          </c:cat>
          <c:val>
            <c:numRef>
              <c:f>'NSWOS dem pair trawl seine'!$I$163:$K$163</c:f>
              <c:numCache>
                <c:formatCode>0%</c:formatCode>
                <c:ptCount val="3"/>
                <c:pt idx="0">
                  <c:v>0.22162035180759823</c:v>
                </c:pt>
                <c:pt idx="1">
                  <c:v>0.25623082466926311</c:v>
                </c:pt>
                <c:pt idx="2">
                  <c:v>0.15870760406058917</c:v>
                </c:pt>
              </c:numCache>
            </c:numRef>
          </c:val>
          <c:extLst>
            <c:ext xmlns:c16="http://schemas.microsoft.com/office/drawing/2014/chart" uri="{C3380CC4-5D6E-409C-BE32-E72D297353CC}">
              <c16:uniqueId val="{00000001-A3D1-435C-8DB4-7A828A933960}"/>
            </c:ext>
          </c:extLst>
        </c:ser>
        <c:ser>
          <c:idx val="2"/>
          <c:order val="2"/>
          <c:tx>
            <c:strRef>
              <c:f>'NSWOS dem pair trawl seine'!$H$164</c:f>
              <c:strCache>
                <c:ptCount val="1"/>
                <c:pt idx="0">
                  <c:v>Whiting</c:v>
                </c:pt>
              </c:strCache>
            </c:strRef>
          </c:tx>
          <c:spPr>
            <a:solidFill>
              <a:srgbClr val="648C2E"/>
            </a:solidFill>
            <a:ln>
              <a:solidFill>
                <a:srgbClr val="FFFFFF"/>
              </a:solidFill>
            </a:ln>
          </c:spPr>
          <c:invertIfNegative val="0"/>
          <c:cat>
            <c:strRef>
              <c:f>'NSWOS dem pair trawl seine'!$I$161:$K$161</c:f>
              <c:strCache>
                <c:ptCount val="3"/>
                <c:pt idx="0">
                  <c:v>Most
profitable
quartile</c:v>
                </c:pt>
                <c:pt idx="1">
                  <c:v>Middle 
two quartiles</c:v>
                </c:pt>
                <c:pt idx="2">
                  <c:v>Least
profitable
quartile</c:v>
                </c:pt>
              </c:strCache>
            </c:strRef>
          </c:cat>
          <c:val>
            <c:numRef>
              <c:f>'NSWOS dem pair trawl seine'!$I$164:$K$164</c:f>
              <c:numCache>
                <c:formatCode>0%</c:formatCode>
                <c:ptCount val="3"/>
                <c:pt idx="0">
                  <c:v>9.3286861462895651E-2</c:v>
                </c:pt>
                <c:pt idx="1">
                  <c:v>0.15089484645204118</c:v>
                </c:pt>
                <c:pt idx="2">
                  <c:v>0.11498889884513901</c:v>
                </c:pt>
              </c:numCache>
            </c:numRef>
          </c:val>
          <c:extLst>
            <c:ext xmlns:c16="http://schemas.microsoft.com/office/drawing/2014/chart" uri="{C3380CC4-5D6E-409C-BE32-E72D297353CC}">
              <c16:uniqueId val="{00000002-A3D1-435C-8DB4-7A828A933960}"/>
            </c:ext>
          </c:extLst>
        </c:ser>
        <c:ser>
          <c:idx val="3"/>
          <c:order val="3"/>
          <c:tx>
            <c:strRef>
              <c:f>'NSWOS dem pair trawl seine'!$H$165</c:f>
              <c:strCache>
                <c:ptCount val="1"/>
                <c:pt idx="0">
                  <c:v>Saithe</c:v>
                </c:pt>
              </c:strCache>
            </c:strRef>
          </c:tx>
          <c:spPr>
            <a:solidFill>
              <a:srgbClr val="E84A38"/>
            </a:solidFill>
            <a:ln>
              <a:solidFill>
                <a:srgbClr val="FFFFFF"/>
              </a:solidFill>
            </a:ln>
          </c:spPr>
          <c:invertIfNegative val="0"/>
          <c:cat>
            <c:strRef>
              <c:f>'NSWOS dem pair trawl seine'!$I$161:$K$161</c:f>
              <c:strCache>
                <c:ptCount val="3"/>
                <c:pt idx="0">
                  <c:v>Most
profitable
quartile</c:v>
                </c:pt>
                <c:pt idx="1">
                  <c:v>Middle 
two quartiles</c:v>
                </c:pt>
                <c:pt idx="2">
                  <c:v>Least
profitable
quartile</c:v>
                </c:pt>
              </c:strCache>
            </c:strRef>
          </c:cat>
          <c:val>
            <c:numRef>
              <c:f>'NSWOS dem pair trawl seine'!$I$165:$K$165</c:f>
              <c:numCache>
                <c:formatCode>0%</c:formatCode>
                <c:ptCount val="3"/>
                <c:pt idx="0">
                  <c:v>0.1335389129911391</c:v>
                </c:pt>
                <c:pt idx="1">
                  <c:v>9.3681142904593548E-2</c:v>
                </c:pt>
                <c:pt idx="2">
                  <c:v>5.1837789454485174E-2</c:v>
                </c:pt>
              </c:numCache>
            </c:numRef>
          </c:val>
          <c:extLst>
            <c:ext xmlns:c16="http://schemas.microsoft.com/office/drawing/2014/chart" uri="{C3380CC4-5D6E-409C-BE32-E72D297353CC}">
              <c16:uniqueId val="{00000003-A3D1-435C-8DB4-7A828A933960}"/>
            </c:ext>
          </c:extLst>
        </c:ser>
        <c:ser>
          <c:idx val="4"/>
          <c:order val="4"/>
          <c:tx>
            <c:strRef>
              <c:f>'NSWOS dem pair trawl seine'!$H$166</c:f>
              <c:strCache>
                <c:ptCount val="1"/>
                <c:pt idx="0">
                  <c:v>Hake</c:v>
                </c:pt>
              </c:strCache>
            </c:strRef>
          </c:tx>
          <c:spPr>
            <a:solidFill>
              <a:srgbClr val="C1D119"/>
            </a:solidFill>
            <a:ln>
              <a:solidFill>
                <a:srgbClr val="FFFFFF"/>
              </a:solidFill>
            </a:ln>
          </c:spPr>
          <c:invertIfNegative val="0"/>
          <c:cat>
            <c:strRef>
              <c:f>'NSWOS dem pair trawl seine'!$I$161:$K$161</c:f>
              <c:strCache>
                <c:ptCount val="3"/>
                <c:pt idx="0">
                  <c:v>Most
profitable
quartile</c:v>
                </c:pt>
                <c:pt idx="1">
                  <c:v>Middle 
two quartiles</c:v>
                </c:pt>
                <c:pt idx="2">
                  <c:v>Least
profitable
quartile</c:v>
                </c:pt>
              </c:strCache>
            </c:strRef>
          </c:cat>
          <c:val>
            <c:numRef>
              <c:f>'NSWOS dem pair trawl seine'!$I$166:$K$166</c:f>
              <c:numCache>
                <c:formatCode>0%</c:formatCode>
                <c:ptCount val="3"/>
                <c:pt idx="0">
                  <c:v>0.17218205473492001</c:v>
                </c:pt>
                <c:pt idx="1">
                  <c:v>5.9116822948102526E-2</c:v>
                </c:pt>
                <c:pt idx="2">
                  <c:v>5.4103584019553369E-2</c:v>
                </c:pt>
              </c:numCache>
            </c:numRef>
          </c:val>
          <c:extLst>
            <c:ext xmlns:c16="http://schemas.microsoft.com/office/drawing/2014/chart" uri="{C3380CC4-5D6E-409C-BE32-E72D297353CC}">
              <c16:uniqueId val="{00000004-A3D1-435C-8DB4-7A828A933960}"/>
            </c:ext>
          </c:extLst>
        </c:ser>
        <c:ser>
          <c:idx val="5"/>
          <c:order val="5"/>
          <c:tx>
            <c:strRef>
              <c:f>'NSWOS dem pair trawl seine'!$H$167</c:f>
              <c:strCache>
                <c:ptCount val="1"/>
                <c:pt idx="0">
                  <c:v>Others</c:v>
                </c:pt>
              </c:strCache>
            </c:strRef>
          </c:tx>
          <c:spPr>
            <a:solidFill>
              <a:srgbClr val="55585A"/>
            </a:solidFill>
            <a:ln>
              <a:solidFill>
                <a:srgbClr val="FFFFFF"/>
              </a:solidFill>
            </a:ln>
          </c:spPr>
          <c:invertIfNegative val="0"/>
          <c:cat>
            <c:strRef>
              <c:f>'NSWOS dem pair trawl seine'!$I$161:$K$161</c:f>
              <c:strCache>
                <c:ptCount val="3"/>
                <c:pt idx="0">
                  <c:v>Most
profitable
quartile</c:v>
                </c:pt>
                <c:pt idx="1">
                  <c:v>Middle 
two quartiles</c:v>
                </c:pt>
                <c:pt idx="2">
                  <c:v>Least
profitable
quartile</c:v>
                </c:pt>
              </c:strCache>
            </c:strRef>
          </c:cat>
          <c:val>
            <c:numRef>
              <c:f>'NSWOS dem pair trawl seine'!$I$167:$K$167</c:f>
              <c:numCache>
                <c:formatCode>0%</c:formatCode>
                <c:ptCount val="3"/>
                <c:pt idx="0">
                  <c:v>8.9668728821085786E-2</c:v>
                </c:pt>
                <c:pt idx="1">
                  <c:v>5.7904762620227257E-2</c:v>
                </c:pt>
                <c:pt idx="2">
                  <c:v>0.36474411252720629</c:v>
                </c:pt>
              </c:numCache>
            </c:numRef>
          </c:val>
          <c:extLst>
            <c:ext xmlns:c16="http://schemas.microsoft.com/office/drawing/2014/chart" uri="{C3380CC4-5D6E-409C-BE32-E72D297353CC}">
              <c16:uniqueId val="{00000005-A3D1-435C-8DB4-7A828A933960}"/>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o250kW'!$K$62</c:f>
          <c:strCache>
            <c:ptCount val="1"/>
            <c:pt idx="0">
              <c:v>Average annual operating profit per vessel (£'000)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0093-4593-87AE-C8FE44DBCF14}"/>
              </c:ext>
            </c:extLst>
          </c:dPt>
          <c:dPt>
            <c:idx val="10"/>
            <c:bubble3D val="0"/>
            <c:spPr>
              <a:ln w="57150">
                <a:solidFill>
                  <a:schemeClr val="accent5"/>
                </a:solidFill>
                <a:prstDash val="sysDot"/>
              </a:ln>
            </c:spPr>
            <c:extLst>
              <c:ext xmlns:c16="http://schemas.microsoft.com/office/drawing/2014/chart" uri="{C3380CC4-5D6E-409C-BE32-E72D297353CC}">
                <c16:uniqueId val="{00000003-0093-4593-87AE-C8FE44DBCF14}"/>
              </c:ext>
            </c:extLst>
          </c:dPt>
          <c:cat>
            <c:numRef>
              <c:f>'Area VIIa nephrops o250kW'!$D$2:$M$2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o250kW'!$D$37:$N$37</c:f>
              <c:numCache>
                <c:formatCode>#,##0.0</c:formatCode>
                <c:ptCount val="11"/>
                <c:pt idx="0">
                  <c:v>60.5</c:v>
                </c:pt>
                <c:pt idx="1">
                  <c:v>81.400000000000006</c:v>
                </c:pt>
                <c:pt idx="2">
                  <c:v>53.1</c:v>
                </c:pt>
                <c:pt idx="3">
                  <c:v>50.4</c:v>
                </c:pt>
                <c:pt idx="4">
                  <c:v>88.7</c:v>
                </c:pt>
                <c:pt idx="5">
                  <c:v>93.6</c:v>
                </c:pt>
                <c:pt idx="6">
                  <c:v>83.1</c:v>
                </c:pt>
                <c:pt idx="7">
                  <c:v>56.3</c:v>
                </c:pt>
                <c:pt idx="8">
                  <c:v>117.3</c:v>
                </c:pt>
                <c:pt idx="9">
                  <c:v>53.3</c:v>
                </c:pt>
                <c:pt idx="10">
                  <c:v>42.1</c:v>
                </c:pt>
              </c:numCache>
            </c:numRef>
          </c:val>
          <c:smooth val="0"/>
          <c:extLst>
            <c:ext xmlns:c16="http://schemas.microsoft.com/office/drawing/2014/chart" uri="{C3380CC4-5D6E-409C-BE32-E72D297353CC}">
              <c16:uniqueId val="{00000004-0093-4593-87AE-C8FE44DBCF14}"/>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'NSWOS dem pair trawl seine'!$K$139</c:f>
              <c:strCache>
                <c:ptCount val="1"/>
                <c:pt idx="0">
                  <c:v>Total income</c:v>
                </c:pt>
              </c:strCache>
            </c:strRef>
          </c:tx>
          <c:spPr>
            <a:solidFill>
              <a:srgbClr val="087CBB"/>
            </a:solidFill>
            <a:ln>
              <a:solidFill>
                <a:schemeClr val="accent1"/>
              </a:solidFill>
            </a:ln>
          </c:spPr>
          <c:invertIfNegative val="0"/>
          <c:cat>
            <c:strRef>
              <c:f>'NSWOS dem pair trawl seine'!$L$138:$N$138</c:f>
              <c:strCache>
                <c:ptCount val="3"/>
                <c:pt idx="0">
                  <c:v>Most
profitable
quartile</c:v>
                </c:pt>
                <c:pt idx="1">
                  <c:v>Middle
two quartiles</c:v>
                </c:pt>
                <c:pt idx="2">
                  <c:v>Least
profitable
quartile</c:v>
                </c:pt>
              </c:strCache>
            </c:strRef>
          </c:cat>
          <c:val>
            <c:numRef>
              <c:f>'NSWOS dem pair trawl seine'!$L$139:$N$139</c:f>
              <c:numCache>
                <c:formatCode>#,##0</c:formatCode>
                <c:ptCount val="3"/>
                <c:pt idx="0">
                  <c:v>3511.7265000000002</c:v>
                </c:pt>
                <c:pt idx="1">
                  <c:v>1865.91954545455</c:v>
                </c:pt>
                <c:pt idx="2">
                  <c:v>1452.5325</c:v>
                </c:pt>
              </c:numCache>
            </c:numRef>
          </c:val>
          <c:extLst>
            <c:ext xmlns:c16="http://schemas.microsoft.com/office/drawing/2014/chart" uri="{C3380CC4-5D6E-409C-BE32-E72D297353CC}">
              <c16:uniqueId val="{00000000-C7A1-4DEC-AB8C-313A4D59CCEC}"/>
            </c:ext>
          </c:extLst>
        </c:ser>
        <c:ser>
          <c:idx val="1"/>
          <c:order val="1"/>
          <c:tx>
            <c:strRef>
              <c:f>'NSWOS dem pair trawl seine'!$K$140</c:f>
              <c:strCache>
                <c:ptCount val="1"/>
                <c:pt idx="0">
                  <c:v>Operating costs</c:v>
                </c:pt>
              </c:strCache>
            </c:strRef>
          </c:tx>
          <c:spPr>
            <a:solidFill>
              <a:srgbClr val="E87308"/>
            </a:solidFill>
          </c:spPr>
          <c:invertIfNegative val="0"/>
          <c:cat>
            <c:strRef>
              <c:f>'NSWOS dem pair trawl seine'!$L$138:$N$138</c:f>
              <c:strCache>
                <c:ptCount val="3"/>
                <c:pt idx="0">
                  <c:v>Most
profitable
quartile</c:v>
                </c:pt>
                <c:pt idx="1">
                  <c:v>Middle
two quartiles</c:v>
                </c:pt>
                <c:pt idx="2">
                  <c:v>Least
profitable
quartile</c:v>
                </c:pt>
              </c:strCache>
            </c:strRef>
          </c:cat>
          <c:val>
            <c:numRef>
              <c:f>'NSWOS dem pair trawl seine'!$L$140:$N$140</c:f>
              <c:numCache>
                <c:formatCode>#,##0</c:formatCode>
                <c:ptCount val="3"/>
                <c:pt idx="0">
                  <c:v>3002.1835000000001</c:v>
                </c:pt>
                <c:pt idx="1">
                  <c:v>1637.55445454545</c:v>
                </c:pt>
                <c:pt idx="2">
                  <c:v>1327.351375</c:v>
                </c:pt>
              </c:numCache>
            </c:numRef>
          </c:val>
          <c:extLst>
            <c:ext xmlns:c16="http://schemas.microsoft.com/office/drawing/2014/chart" uri="{C3380CC4-5D6E-409C-BE32-E72D297353CC}">
              <c16:uniqueId val="{00000001-C7A1-4DEC-AB8C-313A4D59CCEC}"/>
            </c:ext>
          </c:extLst>
        </c:ser>
        <c:ser>
          <c:idx val="2"/>
          <c:order val="2"/>
          <c:tx>
            <c:strRef>
              <c:f>'NSWOS dem pair trawl seine'!$K$141</c:f>
              <c:strCache>
                <c:ptCount val="1"/>
                <c:pt idx="0">
                  <c:v>Operating profit</c:v>
                </c:pt>
              </c:strCache>
            </c:strRef>
          </c:tx>
          <c:spPr>
            <a:solidFill>
              <a:srgbClr val="51AA81"/>
            </a:solidFill>
          </c:spPr>
          <c:invertIfNegative val="0"/>
          <c:cat>
            <c:strRef>
              <c:f>'NSWOS dem pair trawl seine'!$L$138:$N$138</c:f>
              <c:strCache>
                <c:ptCount val="3"/>
                <c:pt idx="0">
                  <c:v>Most
profitable
quartile</c:v>
                </c:pt>
                <c:pt idx="1">
                  <c:v>Middle
two quartiles</c:v>
                </c:pt>
                <c:pt idx="2">
                  <c:v>Least
profitable
quartile</c:v>
                </c:pt>
              </c:strCache>
            </c:strRef>
          </c:cat>
          <c:val>
            <c:numRef>
              <c:f>'NSWOS dem pair trawl seine'!$L$141:$N$141</c:f>
              <c:numCache>
                <c:formatCode>#,##0</c:formatCode>
                <c:ptCount val="3"/>
                <c:pt idx="0">
                  <c:v>509.54300000000001</c:v>
                </c:pt>
                <c:pt idx="1">
                  <c:v>228.36509090909101</c:v>
                </c:pt>
                <c:pt idx="2">
                  <c:v>125.18112499999999</c:v>
                </c:pt>
              </c:numCache>
            </c:numRef>
          </c:val>
          <c:extLst>
            <c:ext xmlns:c16="http://schemas.microsoft.com/office/drawing/2014/chart" uri="{C3380CC4-5D6E-409C-BE32-E72D297353CC}">
              <c16:uniqueId val="{00000002-C7A1-4DEC-AB8C-313A4D59CCEC}"/>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'NSWOS dem pair trawl seine'!$K$142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seiners'!$A$48</c:f>
          <c:strCache>
            <c:ptCount val="1"/>
            <c:pt idx="0">
              <c:v>Landings per kW day at sea (kg)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9804-4FDD-AC5A-03940248A1E2}"/>
              </c:ext>
            </c:extLst>
          </c:dPt>
          <c:dPt>
            <c:idx val="10"/>
            <c:bubble3D val="0"/>
            <c:spPr>
              <a:ln w="57150">
                <a:solidFill>
                  <a:srgbClr val="2273B9"/>
                </a:solidFill>
                <a:prstDash val="sysDot"/>
              </a:ln>
            </c:spPr>
            <c:extLst>
              <c:ext xmlns:c16="http://schemas.microsoft.com/office/drawing/2014/chart" uri="{C3380CC4-5D6E-409C-BE32-E72D297353CC}">
                <c16:uniqueId val="{00000003-9804-4FDD-AC5A-03940248A1E2}"/>
              </c:ext>
            </c:extLst>
          </c:dPt>
          <c:cat>
            <c:numRef>
              <c:f>'NSWOS demersal seiners'!$D$2:$N$2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'NSWOS demersal seiners'!$D$21:$N$21</c:f>
              <c:numCache>
                <c:formatCode>#,##0.00</c:formatCode>
                <c:ptCount val="11"/>
                <c:pt idx="0">
                  <c:v>8.4982661584921182</c:v>
                </c:pt>
                <c:pt idx="1">
                  <c:v>11.529568433337364</c:v>
                </c:pt>
                <c:pt idx="2">
                  <c:v>8.9154712208699785</c:v>
                </c:pt>
                <c:pt idx="3">
                  <c:v>10.202824663731205</c:v>
                </c:pt>
                <c:pt idx="4">
                  <c:v>9.4220250944414463</c:v>
                </c:pt>
                <c:pt idx="5">
                  <c:v>9.8505721695795074</c:v>
                </c:pt>
                <c:pt idx="6">
                  <c:v>8.5963399164467056</c:v>
                </c:pt>
                <c:pt idx="7">
                  <c:v>10.872289145496374</c:v>
                </c:pt>
                <c:pt idx="8">
                  <c:v>7.8430139853954017</c:v>
                </c:pt>
                <c:pt idx="9">
                  <c:v>4.639421688043587</c:v>
                </c:pt>
                <c:pt idx="10">
                  <c:v>3.9117745140868658</c:v>
                </c:pt>
              </c:numCache>
            </c:numRef>
          </c:val>
          <c:smooth val="0"/>
          <c:extLst>
            <c:ext xmlns:c16="http://schemas.microsoft.com/office/drawing/2014/chart" uri="{C3380CC4-5D6E-409C-BE32-E72D297353CC}">
              <c16:uniqueId val="{00000004-9804-4FDD-AC5A-03940248A1E2}"/>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seiners'!$A$49</c:f>
          <c:strCache>
            <c:ptCount val="1"/>
            <c:pt idx="0">
              <c:v>Fishing income per kW day at sea (£)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742D-4C30-A5A1-CA22932F71AB}"/>
              </c:ext>
            </c:extLst>
          </c:dPt>
          <c:dPt>
            <c:idx val="10"/>
            <c:bubble3D val="0"/>
            <c:spPr>
              <a:ln w="57150">
                <a:solidFill>
                  <a:srgbClr val="648C2E"/>
                </a:solidFill>
                <a:prstDash val="sysDot"/>
              </a:ln>
            </c:spPr>
            <c:extLst>
              <c:ext xmlns:c16="http://schemas.microsoft.com/office/drawing/2014/chart" uri="{C3380CC4-5D6E-409C-BE32-E72D297353CC}">
                <c16:uniqueId val="{00000003-742D-4C30-A5A1-CA22932F71AB}"/>
              </c:ext>
            </c:extLst>
          </c:dPt>
          <c:cat>
            <c:numRef>
              <c:f>'NSWOS demersal seiners'!$D$2:$N$2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'NSWOS demersal seiners'!$D$22:$N$22</c:f>
              <c:numCache>
                <c:formatCode>#,##0.00</c:formatCode>
                <c:ptCount val="11"/>
                <c:pt idx="0">
                  <c:v>15.065001195473601</c:v>
                </c:pt>
                <c:pt idx="1">
                  <c:v>17.3247317325594</c:v>
                </c:pt>
                <c:pt idx="2">
                  <c:v>13.4931410176402</c:v>
                </c:pt>
                <c:pt idx="3">
                  <c:v>16.875218646740102</c:v>
                </c:pt>
                <c:pt idx="4">
                  <c:v>15.448997301673</c:v>
                </c:pt>
                <c:pt idx="5">
                  <c:v>17.118658557811401</c:v>
                </c:pt>
                <c:pt idx="6">
                  <c:v>15.7329353518699</c:v>
                </c:pt>
                <c:pt idx="7">
                  <c:v>19.3679049326811</c:v>
                </c:pt>
                <c:pt idx="8">
                  <c:v>15.0545992386148</c:v>
                </c:pt>
                <c:pt idx="9">
                  <c:v>7.5019091123757899</c:v>
                </c:pt>
                <c:pt idx="10">
                  <c:v>6.0627403110063458</c:v>
                </c:pt>
              </c:numCache>
            </c:numRef>
          </c:val>
          <c:smooth val="0"/>
          <c:extLst>
            <c:ext xmlns:c16="http://schemas.microsoft.com/office/drawing/2014/chart" uri="{C3380CC4-5D6E-409C-BE32-E72D297353CC}">
              <c16:uniqueId val="{00000004-742D-4C30-A5A1-CA22932F71AB}"/>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seiners'!$B$62</c:f>
          <c:strCache>
            <c:ptCount val="1"/>
            <c:pt idx="0">
              <c:v>Total cost per kW day at sea (£)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AE64-42AF-A501-BF5BC013BC44}"/>
              </c:ext>
            </c:extLst>
          </c:dPt>
          <c:dPt>
            <c:idx val="10"/>
            <c:bubble3D val="0"/>
            <c:spPr>
              <a:ln w="57150">
                <a:solidFill>
                  <a:srgbClr val="087CBB"/>
                </a:solidFill>
                <a:prstDash val="sysDot"/>
              </a:ln>
            </c:spPr>
            <c:extLst>
              <c:ext xmlns:c16="http://schemas.microsoft.com/office/drawing/2014/chart" uri="{C3380CC4-5D6E-409C-BE32-E72D297353CC}">
                <c16:uniqueId val="{00000003-AE64-42AF-A501-BF5BC013BC44}"/>
              </c:ext>
            </c:extLst>
          </c:dPt>
          <c:cat>
            <c:numRef>
              <c:f>'NSWOS demersal seiners'!$D$2:$N$2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'NSWOS demersal seiners'!$D$23:$N$23</c:f>
              <c:numCache>
                <c:formatCode>#,##0.00</c:formatCode>
                <c:ptCount val="11"/>
                <c:pt idx="0">
                  <c:v>11.9308965245356</c:v>
                </c:pt>
                <c:pt idx="1">
                  <c:v>15.8432838748811</c:v>
                </c:pt>
                <c:pt idx="2">
                  <c:v>12.541526549018</c:v>
                </c:pt>
                <c:pt idx="3">
                  <c:v>14.0254835526943</c:v>
                </c:pt>
                <c:pt idx="4">
                  <c:v>13.8743168915273</c:v>
                </c:pt>
                <c:pt idx="5">
                  <c:v>14.303755507434801</c:v>
                </c:pt>
                <c:pt idx="6">
                  <c:v>12.525954064244299</c:v>
                </c:pt>
                <c:pt idx="7">
                  <c:v>15.0281966622632</c:v>
                </c:pt>
                <c:pt idx="8">
                  <c:v>12.9965139603541</c:v>
                </c:pt>
                <c:pt idx="9">
                  <c:v>7.7692099655890496</c:v>
                </c:pt>
                <c:pt idx="10">
                  <c:v>6.7220152401317987</c:v>
                </c:pt>
              </c:numCache>
            </c:numRef>
          </c:val>
          <c:smooth val="0"/>
          <c:extLst>
            <c:ext xmlns:c16="http://schemas.microsoft.com/office/drawing/2014/chart" uri="{C3380CC4-5D6E-409C-BE32-E72D297353CC}">
              <c16:uniqueId val="{00000004-AE64-42AF-A501-BF5BC013BC44}"/>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seiners'!$K$48</c:f>
          <c:strCache>
            <c:ptCount val="1"/>
            <c:pt idx="0">
              <c:v>Operating profit per kW day at sea (£)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0F9E-4FFB-B7EF-02F36F5CB1BE}"/>
              </c:ext>
            </c:extLst>
          </c:dPt>
          <c:dPt>
            <c:idx val="10"/>
            <c:bubble3D val="0"/>
            <c:spPr>
              <a:ln w="57150">
                <a:solidFill>
                  <a:schemeClr val="accent3"/>
                </a:solidFill>
                <a:prstDash val="sysDot"/>
              </a:ln>
            </c:spPr>
            <c:extLst>
              <c:ext xmlns:c16="http://schemas.microsoft.com/office/drawing/2014/chart" uri="{C3380CC4-5D6E-409C-BE32-E72D297353CC}">
                <c16:uniqueId val="{00000003-0F9E-4FFB-B7EF-02F36F5CB1BE}"/>
              </c:ext>
            </c:extLst>
          </c:dPt>
          <c:cat>
            <c:numRef>
              <c:f>'NSWOS demersal seiners'!$D$2:$N$2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'NSWOS demersal seiners'!$D$24:$N$24</c:f>
              <c:numCache>
                <c:formatCode>#,##0.00</c:formatCode>
                <c:ptCount val="11"/>
                <c:pt idx="0">
                  <c:v>3.51029637907456</c:v>
                </c:pt>
                <c:pt idx="1">
                  <c:v>3.6069908836493201</c:v>
                </c:pt>
                <c:pt idx="2">
                  <c:v>2.66759319254535</c:v>
                </c:pt>
                <c:pt idx="3">
                  <c:v>4.3954940744852804</c:v>
                </c:pt>
                <c:pt idx="4">
                  <c:v>3.8612541824069102</c:v>
                </c:pt>
                <c:pt idx="5">
                  <c:v>4.0537693720073902</c:v>
                </c:pt>
                <c:pt idx="6">
                  <c:v>4.3401125295319103</c:v>
                </c:pt>
                <c:pt idx="7">
                  <c:v>5.4267117217484397</c:v>
                </c:pt>
                <c:pt idx="8">
                  <c:v>2.3472571987191899</c:v>
                </c:pt>
                <c:pt idx="9">
                  <c:v>0.21476255525062801</c:v>
                </c:pt>
                <c:pt idx="10">
                  <c:v>-0.54282053934825869</c:v>
                </c:pt>
              </c:numCache>
            </c:numRef>
          </c:val>
          <c:smooth val="0"/>
          <c:extLst>
            <c:ext xmlns:c16="http://schemas.microsoft.com/office/drawing/2014/chart" uri="{C3380CC4-5D6E-409C-BE32-E72D297353CC}">
              <c16:uniqueId val="{00000004-0F9E-4FFB-B7EF-02F36F5CB1BE}"/>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seiners'!$A$50</c:f>
          <c:strCache>
            <c:ptCount val="1"/>
            <c:pt idx="0">
              <c:v>Average price per tonne landed (£)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4D6C-42FA-8CB2-84F9529ACA74}"/>
              </c:ext>
            </c:extLst>
          </c:dPt>
          <c:dPt>
            <c:idx val="10"/>
            <c:bubble3D val="0"/>
            <c:spPr>
              <a:ln w="57150">
                <a:solidFill>
                  <a:schemeClr val="accent4"/>
                </a:solidFill>
                <a:prstDash val="sysDot"/>
              </a:ln>
            </c:spPr>
            <c:extLst>
              <c:ext xmlns:c16="http://schemas.microsoft.com/office/drawing/2014/chart" uri="{C3380CC4-5D6E-409C-BE32-E72D297353CC}">
                <c16:uniqueId val="{00000003-4D6C-42FA-8CB2-84F9529ACA74}"/>
              </c:ext>
            </c:extLst>
          </c:dPt>
          <c:cat>
            <c:numRef>
              <c:f>'NSWOS demersal seiners'!$D$2:$M$2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seiners'!$D$20:$N$20</c:f>
              <c:numCache>
                <c:formatCode>#,##0</c:formatCode>
                <c:ptCount val="11"/>
                <c:pt idx="0">
                  <c:v>1773</c:v>
                </c:pt>
                <c:pt idx="1">
                  <c:v>1503</c:v>
                </c:pt>
                <c:pt idx="2">
                  <c:v>1513</c:v>
                </c:pt>
                <c:pt idx="3">
                  <c:v>1654</c:v>
                </c:pt>
                <c:pt idx="4">
                  <c:v>1640</c:v>
                </c:pt>
                <c:pt idx="5">
                  <c:v>1738</c:v>
                </c:pt>
                <c:pt idx="6">
                  <c:v>1830</c:v>
                </c:pt>
                <c:pt idx="7">
                  <c:v>1781</c:v>
                </c:pt>
                <c:pt idx="8">
                  <c:v>1919</c:v>
                </c:pt>
                <c:pt idx="9">
                  <c:v>1617</c:v>
                </c:pt>
                <c:pt idx="10">
                  <c:v>1550</c:v>
                </c:pt>
              </c:numCache>
            </c:numRef>
          </c:val>
          <c:smooth val="0"/>
          <c:extLst>
            <c:ext xmlns:c16="http://schemas.microsoft.com/office/drawing/2014/chart" uri="{C3380CC4-5D6E-409C-BE32-E72D297353CC}">
              <c16:uniqueId val="{00000004-4D6C-42FA-8CB2-84F9529ACA74}"/>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seiners'!$K$62</c:f>
          <c:strCache>
            <c:ptCount val="1"/>
            <c:pt idx="0">
              <c:v>Average annual operating profit per vessel (£'000)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82A6-4655-AD83-9F6C8C889303}"/>
              </c:ext>
            </c:extLst>
          </c:dPt>
          <c:dPt>
            <c:idx val="10"/>
            <c:bubble3D val="0"/>
            <c:spPr>
              <a:ln w="57150">
                <a:solidFill>
                  <a:schemeClr val="accent5"/>
                </a:solidFill>
                <a:prstDash val="sysDot"/>
              </a:ln>
            </c:spPr>
            <c:extLst>
              <c:ext xmlns:c16="http://schemas.microsoft.com/office/drawing/2014/chart" uri="{C3380CC4-5D6E-409C-BE32-E72D297353CC}">
                <c16:uniqueId val="{00000003-82A6-4655-AD83-9F6C8C889303}"/>
              </c:ext>
            </c:extLst>
          </c:dPt>
          <c:cat>
            <c:numRef>
              <c:f>'NSWOS demersal seiners'!$D$2:$M$2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seiners'!$D$37:$N$37</c:f>
              <c:numCache>
                <c:formatCode>#,##0.0</c:formatCode>
                <c:ptCount val="11"/>
                <c:pt idx="0">
                  <c:v>224.4</c:v>
                </c:pt>
                <c:pt idx="1">
                  <c:v>193.6</c:v>
                </c:pt>
                <c:pt idx="2">
                  <c:v>204.2</c:v>
                </c:pt>
                <c:pt idx="3">
                  <c:v>308.10000000000002</c:v>
                </c:pt>
                <c:pt idx="4">
                  <c:v>279.5</c:v>
                </c:pt>
                <c:pt idx="5">
                  <c:v>297</c:v>
                </c:pt>
                <c:pt idx="6">
                  <c:v>422.1</c:v>
                </c:pt>
                <c:pt idx="7">
                  <c:v>422.8</c:v>
                </c:pt>
                <c:pt idx="8">
                  <c:v>281.89999999999998</c:v>
                </c:pt>
                <c:pt idx="9">
                  <c:v>31.4</c:v>
                </c:pt>
                <c:pt idx="10">
                  <c:v>-89.7</c:v>
                </c:pt>
              </c:numCache>
            </c:numRef>
          </c:val>
          <c:smooth val="0"/>
          <c:extLst>
            <c:ext xmlns:c16="http://schemas.microsoft.com/office/drawing/2014/chart" uri="{C3380CC4-5D6E-409C-BE32-E72D297353CC}">
              <c16:uniqueId val="{00000004-82A6-4655-AD83-9F6C8C889303}"/>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seiners'!$A$76</c:f>
          <c:strCache>
            <c:ptCount val="1"/>
            <c:pt idx="0">
              <c:v>Top 5 landed species by volume in 2020
NSWOS demersal seiners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72FB-4E01-89A6-8CC1BCBDAE6E}"/>
              </c:ext>
            </c:extLst>
          </c:dPt>
          <c:dPt>
            <c:idx val="1"/>
            <c:bubble3D val="0"/>
            <c:spPr>
              <a:solidFill>
                <a:srgbClr val="E87308"/>
              </a:solidFill>
              <a:ln>
                <a:solidFill>
                  <a:srgbClr val="FFFFFF"/>
                </a:solidFill>
              </a:ln>
            </c:spPr>
            <c:extLst>
              <c:ext xmlns:c16="http://schemas.microsoft.com/office/drawing/2014/chart" uri="{C3380CC4-5D6E-409C-BE32-E72D297353CC}">
                <c16:uniqueId val="{00000003-72FB-4E01-89A6-8CC1BCBDAE6E}"/>
              </c:ext>
            </c:extLst>
          </c:dPt>
          <c:dPt>
            <c:idx val="2"/>
            <c:bubble3D val="0"/>
            <c:spPr>
              <a:solidFill>
                <a:srgbClr val="0F9AA9"/>
              </a:solidFill>
              <a:ln>
                <a:solidFill>
                  <a:srgbClr val="FFFFFF"/>
                </a:solidFill>
              </a:ln>
            </c:spPr>
            <c:extLst>
              <c:ext xmlns:c16="http://schemas.microsoft.com/office/drawing/2014/chart" uri="{C3380CC4-5D6E-409C-BE32-E72D297353CC}">
                <c16:uniqueId val="{00000005-72FB-4E01-89A6-8CC1BCBDAE6E}"/>
              </c:ext>
            </c:extLst>
          </c:dPt>
          <c:dPt>
            <c:idx val="3"/>
            <c:bubble3D val="0"/>
            <c:spPr>
              <a:solidFill>
                <a:srgbClr val="648C2E"/>
              </a:solidFill>
              <a:ln>
                <a:solidFill>
                  <a:srgbClr val="FFFFFF"/>
                </a:solidFill>
              </a:ln>
            </c:spPr>
            <c:extLst>
              <c:ext xmlns:c16="http://schemas.microsoft.com/office/drawing/2014/chart" uri="{C3380CC4-5D6E-409C-BE32-E72D297353CC}">
                <c16:uniqueId val="{00000007-72FB-4E01-89A6-8CC1BCBDAE6E}"/>
              </c:ext>
            </c:extLst>
          </c:dPt>
          <c:dPt>
            <c:idx val="4"/>
            <c:bubble3D val="0"/>
            <c:spPr>
              <a:solidFill>
                <a:srgbClr val="E84A38"/>
              </a:solidFill>
              <a:ln>
                <a:solidFill>
                  <a:srgbClr val="FFFFFF"/>
                </a:solidFill>
              </a:ln>
            </c:spPr>
            <c:extLst>
              <c:ext xmlns:c16="http://schemas.microsoft.com/office/drawing/2014/chart" uri="{C3380CC4-5D6E-409C-BE32-E72D297353CC}">
                <c16:uniqueId val="{00000009-72FB-4E01-89A6-8CC1BCBDAE6E}"/>
              </c:ext>
            </c:extLst>
          </c:dPt>
          <c:dPt>
            <c:idx val="5"/>
            <c:bubble3D val="0"/>
            <c:spPr>
              <a:solidFill>
                <a:srgbClr val="55585A"/>
              </a:solidFill>
              <a:ln>
                <a:solidFill>
                  <a:srgbClr val="FFFFFF"/>
                </a:solidFill>
              </a:ln>
            </c:spPr>
            <c:extLst>
              <c:ext xmlns:c16="http://schemas.microsoft.com/office/drawing/2014/chart" uri="{C3380CC4-5D6E-409C-BE32-E72D297353CC}">
                <c16:uniqueId val="{0000000B-72FB-4E01-89A6-8CC1BCBDAE6E}"/>
              </c:ext>
            </c:extLst>
          </c:dPt>
          <c:cat>
            <c:strRef>
              <c:f>'NSWOS demersal seiners'!$B$77:$B$82</c:f>
              <c:strCache>
                <c:ptCount val="6"/>
                <c:pt idx="0">
                  <c:v>Haddock - 25.4%</c:v>
                </c:pt>
                <c:pt idx="1">
                  <c:v>Whiting - 19.5%</c:v>
                </c:pt>
                <c:pt idx="2">
                  <c:v>Plaice - 10.9%</c:v>
                </c:pt>
                <c:pt idx="3">
                  <c:v>Cod - 8.0%</c:v>
                </c:pt>
                <c:pt idx="4">
                  <c:v>Red Mullet - 5.6%</c:v>
                </c:pt>
                <c:pt idx="5">
                  <c:v>Others - 30.6%</c:v>
                </c:pt>
              </c:strCache>
            </c:strRef>
          </c:cat>
          <c:val>
            <c:numRef>
              <c:f>'NSWOS demersal seiners'!$C$77:$C$82</c:f>
              <c:numCache>
                <c:formatCode>0.0%</c:formatCode>
                <c:ptCount val="6"/>
                <c:pt idx="0">
                  <c:v>0.2539130171220193</c:v>
                </c:pt>
                <c:pt idx="1">
                  <c:v>0.19544650578445114</c:v>
                </c:pt>
                <c:pt idx="2">
                  <c:v>0.10898119812510641</c:v>
                </c:pt>
                <c:pt idx="3">
                  <c:v>7.9689723188295578E-2</c:v>
                </c:pt>
                <c:pt idx="4">
                  <c:v>5.643543719755896E-2</c:v>
                </c:pt>
                <c:pt idx="5">
                  <c:v>0.30553411858256863</c:v>
                </c:pt>
              </c:numCache>
            </c:numRef>
          </c:val>
          <c:extLst>
            <c:ext xmlns:c16="http://schemas.microsoft.com/office/drawing/2014/chart" uri="{C3380CC4-5D6E-409C-BE32-E72D297353CC}">
              <c16:uniqueId val="{0000000C-72FB-4E01-89A6-8CC1BCBDAE6E}"/>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seiners'!$F$76</c:f>
          <c:strCache>
            <c:ptCount val="1"/>
            <c:pt idx="0">
              <c:v>Top 5 landed species by value in 2020
NSWOS demersal seiners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2870-49F1-9E6F-73AE27F9E90D}"/>
              </c:ext>
            </c:extLst>
          </c:dPt>
          <c:dPt>
            <c:idx val="1"/>
            <c:bubble3D val="0"/>
            <c:spPr>
              <a:solidFill>
                <a:srgbClr val="E87308"/>
              </a:solidFill>
              <a:ln>
                <a:solidFill>
                  <a:srgbClr val="FFFFFF"/>
                </a:solidFill>
              </a:ln>
            </c:spPr>
            <c:extLst>
              <c:ext xmlns:c16="http://schemas.microsoft.com/office/drawing/2014/chart" uri="{C3380CC4-5D6E-409C-BE32-E72D297353CC}">
                <c16:uniqueId val="{00000003-2870-49F1-9E6F-73AE27F9E90D}"/>
              </c:ext>
            </c:extLst>
          </c:dPt>
          <c:dPt>
            <c:idx val="2"/>
            <c:bubble3D val="0"/>
            <c:spPr>
              <a:solidFill>
                <a:srgbClr val="648C2E"/>
              </a:solidFill>
              <a:ln>
                <a:solidFill>
                  <a:srgbClr val="FFFFFF"/>
                </a:solidFill>
              </a:ln>
            </c:spPr>
            <c:extLst>
              <c:ext xmlns:c16="http://schemas.microsoft.com/office/drawing/2014/chart" uri="{C3380CC4-5D6E-409C-BE32-E72D297353CC}">
                <c16:uniqueId val="{00000005-2870-49F1-9E6F-73AE27F9E90D}"/>
              </c:ext>
            </c:extLst>
          </c:dPt>
          <c:dPt>
            <c:idx val="3"/>
            <c:bubble3D val="0"/>
            <c:spPr>
              <a:solidFill>
                <a:srgbClr val="C1D119"/>
              </a:solidFill>
              <a:ln>
                <a:solidFill>
                  <a:srgbClr val="FFFFFF"/>
                </a:solidFill>
              </a:ln>
            </c:spPr>
            <c:extLst>
              <c:ext xmlns:c16="http://schemas.microsoft.com/office/drawing/2014/chart" uri="{C3380CC4-5D6E-409C-BE32-E72D297353CC}">
                <c16:uniqueId val="{00000007-2870-49F1-9E6F-73AE27F9E90D}"/>
              </c:ext>
            </c:extLst>
          </c:dPt>
          <c:dPt>
            <c:idx val="4"/>
            <c:bubble3D val="0"/>
            <c:spPr>
              <a:solidFill>
                <a:srgbClr val="E84A38"/>
              </a:solidFill>
              <a:ln>
                <a:solidFill>
                  <a:srgbClr val="FFFFFF"/>
                </a:solidFill>
              </a:ln>
            </c:spPr>
            <c:extLst>
              <c:ext xmlns:c16="http://schemas.microsoft.com/office/drawing/2014/chart" uri="{C3380CC4-5D6E-409C-BE32-E72D297353CC}">
                <c16:uniqueId val="{00000009-2870-49F1-9E6F-73AE27F9E90D}"/>
              </c:ext>
            </c:extLst>
          </c:dPt>
          <c:dPt>
            <c:idx val="5"/>
            <c:bubble3D val="0"/>
            <c:spPr>
              <a:solidFill>
                <a:srgbClr val="55585A"/>
              </a:solidFill>
              <a:ln>
                <a:solidFill>
                  <a:srgbClr val="FFFFFF"/>
                </a:solidFill>
              </a:ln>
            </c:spPr>
            <c:extLst>
              <c:ext xmlns:c16="http://schemas.microsoft.com/office/drawing/2014/chart" uri="{C3380CC4-5D6E-409C-BE32-E72D297353CC}">
                <c16:uniqueId val="{0000000B-2870-49F1-9E6F-73AE27F9E90D}"/>
              </c:ext>
            </c:extLst>
          </c:dPt>
          <c:cat>
            <c:strRef>
              <c:f>'NSWOS demersal seiners'!$G$77:$G$82</c:f>
              <c:strCache>
                <c:ptCount val="6"/>
                <c:pt idx="0">
                  <c:v>Haddock - 20.2%</c:v>
                </c:pt>
                <c:pt idx="1">
                  <c:v>Whiting - 16.0%</c:v>
                </c:pt>
                <c:pt idx="2">
                  <c:v>Cod - 13.5%</c:v>
                </c:pt>
                <c:pt idx="3">
                  <c:v>Squid - 8.8%</c:v>
                </c:pt>
                <c:pt idx="4">
                  <c:v>Red Mullet - 7.1%</c:v>
                </c:pt>
                <c:pt idx="5">
                  <c:v>Others - 34.5%</c:v>
                </c:pt>
              </c:strCache>
            </c:strRef>
          </c:cat>
          <c:val>
            <c:numRef>
              <c:f>'NSWOS demersal seiners'!$H$77:$H$82</c:f>
              <c:numCache>
                <c:formatCode>0.0%</c:formatCode>
                <c:ptCount val="6"/>
                <c:pt idx="0">
                  <c:v>0.20181617740307944</c:v>
                </c:pt>
                <c:pt idx="1">
                  <c:v>0.16003519417401887</c:v>
                </c:pt>
                <c:pt idx="2">
                  <c:v>0.13500573422655263</c:v>
                </c:pt>
                <c:pt idx="3">
                  <c:v>8.7665155633792846E-2</c:v>
                </c:pt>
                <c:pt idx="4">
                  <c:v>7.0927594155139467E-2</c:v>
                </c:pt>
                <c:pt idx="5">
                  <c:v>0.34455014440741671</c:v>
                </c:pt>
              </c:numCache>
            </c:numRef>
          </c:val>
          <c:extLst>
            <c:ext xmlns:c16="http://schemas.microsoft.com/office/drawing/2014/chart" uri="{C3380CC4-5D6E-409C-BE32-E72D297353CC}">
              <c16:uniqueId val="{0000000C-2870-49F1-9E6F-73AE27F9E90D}"/>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seiners'!$K$77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demersal seiners'!$C$92</c:f>
              <c:strCache>
                <c:ptCount val="1"/>
                <c:pt idx="0">
                  <c:v>Haddock</c:v>
                </c:pt>
              </c:strCache>
            </c:strRef>
          </c:tx>
          <c:spPr>
            <a:solidFill>
              <a:srgbClr val="2273B9"/>
            </a:solidFill>
            <a:ln>
              <a:solidFill>
                <a:srgbClr val="FFFFFF"/>
              </a:solidFill>
            </a:ln>
          </c:spPr>
          <c:invertIfNegative val="0"/>
          <c:cat>
            <c:numRef>
              <c:f>'NSWOS demersal seiners'!$D$91:$M$91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seiners'!$D$92:$M$92</c:f>
              <c:numCache>
                <c:formatCode>0%</c:formatCode>
                <c:ptCount val="10"/>
                <c:pt idx="0">
                  <c:v>0.39852493537864564</c:v>
                </c:pt>
                <c:pt idx="1">
                  <c:v>0.33757213383115148</c:v>
                </c:pt>
                <c:pt idx="2">
                  <c:v>0.36537246228181097</c:v>
                </c:pt>
                <c:pt idx="3">
                  <c:v>0.37030308508093396</c:v>
                </c:pt>
                <c:pt idx="4">
                  <c:v>0.28415675870703894</c:v>
                </c:pt>
                <c:pt idx="5">
                  <c:v>0.25020052240820517</c:v>
                </c:pt>
                <c:pt idx="6">
                  <c:v>0.30772383390297231</c:v>
                </c:pt>
                <c:pt idx="7">
                  <c:v>0.24501059630773842</c:v>
                </c:pt>
                <c:pt idx="8">
                  <c:v>0.20181617740307944</c:v>
                </c:pt>
                <c:pt idx="9">
                  <c:v>0.1740619050937641</c:v>
                </c:pt>
              </c:numCache>
            </c:numRef>
          </c:val>
          <c:extLst>
            <c:ext xmlns:c16="http://schemas.microsoft.com/office/drawing/2014/chart" uri="{C3380CC4-5D6E-409C-BE32-E72D297353CC}">
              <c16:uniqueId val="{00000000-673B-4879-8759-2A83CF632FF7}"/>
            </c:ext>
          </c:extLst>
        </c:ser>
        <c:ser>
          <c:idx val="1"/>
          <c:order val="1"/>
          <c:tx>
            <c:strRef>
              <c:f>'NSWOS demersal seiners'!$C$93</c:f>
              <c:strCache>
                <c:ptCount val="1"/>
                <c:pt idx="0">
                  <c:v>Whiting</c:v>
                </c:pt>
              </c:strCache>
            </c:strRef>
          </c:tx>
          <c:spPr>
            <a:solidFill>
              <a:srgbClr val="E87308"/>
            </a:solidFill>
            <a:ln>
              <a:solidFill>
                <a:srgbClr val="FFFFFF"/>
              </a:solidFill>
            </a:ln>
          </c:spPr>
          <c:invertIfNegative val="0"/>
          <c:cat>
            <c:numRef>
              <c:f>'NSWOS demersal seiners'!$D$91:$M$91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seiners'!$D$93:$M$93</c:f>
              <c:numCache>
                <c:formatCode>0%</c:formatCode>
                <c:ptCount val="10"/>
                <c:pt idx="0">
                  <c:v>0.15821918303115096</c:v>
                </c:pt>
                <c:pt idx="1">
                  <c:v>0.11575033247992132</c:v>
                </c:pt>
                <c:pt idx="2">
                  <c:v>0.11159738637316681</c:v>
                </c:pt>
                <c:pt idx="3">
                  <c:v>0.13706851638502218</c:v>
                </c:pt>
                <c:pt idx="4">
                  <c:v>0.1305361736775586</c:v>
                </c:pt>
                <c:pt idx="5">
                  <c:v>0.11855348182041203</c:v>
                </c:pt>
                <c:pt idx="6">
                  <c:v>0.14755315363338437</c:v>
                </c:pt>
                <c:pt idx="7">
                  <c:v>0.14871565047589705</c:v>
                </c:pt>
                <c:pt idx="8">
                  <c:v>0.16003519417401887</c:v>
                </c:pt>
                <c:pt idx="9">
                  <c:v>0.20632124316370345</c:v>
                </c:pt>
              </c:numCache>
            </c:numRef>
          </c:val>
          <c:extLst>
            <c:ext xmlns:c16="http://schemas.microsoft.com/office/drawing/2014/chart" uri="{C3380CC4-5D6E-409C-BE32-E72D297353CC}">
              <c16:uniqueId val="{00000001-673B-4879-8759-2A83CF632FF7}"/>
            </c:ext>
          </c:extLst>
        </c:ser>
        <c:ser>
          <c:idx val="2"/>
          <c:order val="2"/>
          <c:tx>
            <c:strRef>
              <c:f>'NSWOS demersal seiners'!$C$94</c:f>
              <c:strCache>
                <c:ptCount val="1"/>
                <c:pt idx="0">
                  <c:v>Cod</c:v>
                </c:pt>
              </c:strCache>
            </c:strRef>
          </c:tx>
          <c:spPr>
            <a:solidFill>
              <a:srgbClr val="648C2E"/>
            </a:solidFill>
            <a:ln>
              <a:solidFill>
                <a:srgbClr val="FFFFFF"/>
              </a:solidFill>
            </a:ln>
          </c:spPr>
          <c:invertIfNegative val="0"/>
          <c:cat>
            <c:numRef>
              <c:f>'NSWOS demersal seiners'!$D$91:$M$91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seiners'!$D$94:$M$94</c:f>
              <c:numCache>
                <c:formatCode>0%</c:formatCode>
                <c:ptCount val="10"/>
                <c:pt idx="0">
                  <c:v>0.25914551665330687</c:v>
                </c:pt>
                <c:pt idx="1">
                  <c:v>0.17013011637707243</c:v>
                </c:pt>
                <c:pt idx="2">
                  <c:v>0.14226071779572208</c:v>
                </c:pt>
                <c:pt idx="3">
                  <c:v>0.21145673080378574</c:v>
                </c:pt>
                <c:pt idx="4">
                  <c:v>0.2447374754822042</c:v>
                </c:pt>
                <c:pt idx="5">
                  <c:v>0.20560774165343132</c:v>
                </c:pt>
                <c:pt idx="6">
                  <c:v>0.27120520210068022</c:v>
                </c:pt>
                <c:pt idx="7">
                  <c:v>0.23114419305681619</c:v>
                </c:pt>
                <c:pt idx="8">
                  <c:v>0.13500573422655263</c:v>
                </c:pt>
                <c:pt idx="9">
                  <c:v>0.14841021848481914</c:v>
                </c:pt>
              </c:numCache>
            </c:numRef>
          </c:val>
          <c:extLst>
            <c:ext xmlns:c16="http://schemas.microsoft.com/office/drawing/2014/chart" uri="{C3380CC4-5D6E-409C-BE32-E72D297353CC}">
              <c16:uniqueId val="{00000002-673B-4879-8759-2A83CF632FF7}"/>
            </c:ext>
          </c:extLst>
        </c:ser>
        <c:ser>
          <c:idx val="3"/>
          <c:order val="3"/>
          <c:tx>
            <c:strRef>
              <c:f>'NSWOS demersal seiners'!$C$95</c:f>
              <c:strCache>
                <c:ptCount val="1"/>
                <c:pt idx="0">
                  <c:v>Squid</c:v>
                </c:pt>
              </c:strCache>
            </c:strRef>
          </c:tx>
          <c:spPr>
            <a:solidFill>
              <a:srgbClr val="C1D119"/>
            </a:solidFill>
            <a:ln>
              <a:solidFill>
                <a:srgbClr val="FFFFFF"/>
              </a:solidFill>
            </a:ln>
          </c:spPr>
          <c:invertIfNegative val="0"/>
          <c:cat>
            <c:numRef>
              <c:f>'NSWOS demersal seiners'!$D$91:$M$91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seiners'!$D$95:$M$95</c:f>
              <c:numCache>
                <c:formatCode>0%</c:formatCode>
                <c:ptCount val="10"/>
                <c:pt idx="1">
                  <c:v>3.6310815532958944E-2</c:v>
                </c:pt>
                <c:pt idx="8">
                  <c:v>8.7665155633792846E-2</c:v>
                </c:pt>
              </c:numCache>
            </c:numRef>
          </c:val>
          <c:extLst>
            <c:ext xmlns:c16="http://schemas.microsoft.com/office/drawing/2014/chart" uri="{C3380CC4-5D6E-409C-BE32-E72D297353CC}">
              <c16:uniqueId val="{00000003-673B-4879-8759-2A83CF632FF7}"/>
            </c:ext>
          </c:extLst>
        </c:ser>
        <c:ser>
          <c:idx val="4"/>
          <c:order val="4"/>
          <c:tx>
            <c:strRef>
              <c:f>'NSWOS demersal seiners'!$C$96</c:f>
              <c:strCache>
                <c:ptCount val="1"/>
                <c:pt idx="0">
                  <c:v>Red Mullet</c:v>
                </c:pt>
              </c:strCache>
            </c:strRef>
          </c:tx>
          <c:spPr>
            <a:solidFill>
              <a:srgbClr val="E84A38"/>
            </a:solidFill>
            <a:ln>
              <a:solidFill>
                <a:srgbClr val="FFFFFF"/>
              </a:solidFill>
            </a:ln>
          </c:spPr>
          <c:invertIfNegative val="0"/>
          <c:cat>
            <c:numRef>
              <c:f>'NSWOS demersal seiners'!$D$91:$M$91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seiners'!$D$96:$M$96</c:f>
              <c:numCache>
                <c:formatCode>0%</c:formatCode>
                <c:ptCount val="10"/>
                <c:pt idx="8">
                  <c:v>7.0927594155139467E-2</c:v>
                </c:pt>
              </c:numCache>
            </c:numRef>
          </c:val>
          <c:extLst>
            <c:ext xmlns:c16="http://schemas.microsoft.com/office/drawing/2014/chart" uri="{C3380CC4-5D6E-409C-BE32-E72D297353CC}">
              <c16:uniqueId val="{00000004-673B-4879-8759-2A83CF632FF7}"/>
            </c:ext>
          </c:extLst>
        </c:ser>
        <c:ser>
          <c:idx val="5"/>
          <c:order val="5"/>
          <c:tx>
            <c:strRef>
              <c:f>'NSWOS demersal seiners'!$C$97</c:f>
              <c:strCache>
                <c:ptCount val="1"/>
                <c:pt idx="0">
                  <c:v>Plaice</c:v>
                </c:pt>
              </c:strCache>
            </c:strRef>
          </c:tx>
          <c:spPr>
            <a:solidFill>
              <a:srgbClr val="0F9AA9"/>
            </a:solidFill>
            <a:ln>
              <a:solidFill>
                <a:srgbClr val="FFFFFF"/>
              </a:solidFill>
            </a:ln>
          </c:spPr>
          <c:invertIfNegative val="0"/>
          <c:cat>
            <c:numRef>
              <c:f>'NSWOS demersal seiners'!$D$91:$M$91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seiners'!$D$97:$M$97</c:f>
              <c:numCache>
                <c:formatCode>0%</c:formatCode>
                <c:ptCount val="10"/>
                <c:pt idx="0">
                  <c:v>3.9299332631036299E-2</c:v>
                </c:pt>
                <c:pt idx="1">
                  <c:v>0.13379116124589549</c:v>
                </c:pt>
                <c:pt idx="2">
                  <c:v>0.10885742833971571</c:v>
                </c:pt>
                <c:pt idx="3">
                  <c:v>6.0072866403013021E-2</c:v>
                </c:pt>
                <c:pt idx="4">
                  <c:v>5.4079495992379177E-2</c:v>
                </c:pt>
                <c:pt idx="5">
                  <c:v>0.10166378571632777</c:v>
                </c:pt>
                <c:pt idx="7">
                  <c:v>4.6970153386238542E-2</c:v>
                </c:pt>
                <c:pt idx="9">
                  <c:v>8.74496657567609E-2</c:v>
                </c:pt>
              </c:numCache>
            </c:numRef>
          </c:val>
          <c:extLst>
            <c:ext xmlns:c16="http://schemas.microsoft.com/office/drawing/2014/chart" uri="{C3380CC4-5D6E-409C-BE32-E72D297353CC}">
              <c16:uniqueId val="{00000005-673B-4879-8759-2A83CF632FF7}"/>
            </c:ext>
          </c:extLst>
        </c:ser>
        <c:ser>
          <c:idx val="6"/>
          <c:order val="6"/>
          <c:tx>
            <c:strRef>
              <c:f>'NSWOS demersal seiners'!$C$98</c:f>
              <c:strCache>
                <c:ptCount val="1"/>
                <c:pt idx="0">
                  <c:v>Hake</c:v>
                </c:pt>
              </c:strCache>
            </c:strRef>
          </c:tx>
          <c:spPr>
            <a:solidFill>
              <a:srgbClr val="FED825"/>
            </a:solidFill>
            <a:ln>
              <a:solidFill>
                <a:srgbClr val="FFFFFF"/>
              </a:solidFill>
            </a:ln>
          </c:spPr>
          <c:invertIfNegative val="0"/>
          <c:cat>
            <c:numRef>
              <c:f>'NSWOS demersal seiners'!$D$91:$M$91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seiners'!$D$98:$M$98</c:f>
              <c:numCache>
                <c:formatCode>0%</c:formatCode>
                <c:ptCount val="10"/>
                <c:pt idx="6">
                  <c:v>9.0871244730008238E-2</c:v>
                </c:pt>
                <c:pt idx="7">
                  <c:v>9.8433443113024502E-2</c:v>
                </c:pt>
                <c:pt idx="9">
                  <c:v>6.9001980806315769E-2</c:v>
                </c:pt>
              </c:numCache>
            </c:numRef>
          </c:val>
          <c:extLst>
            <c:ext xmlns:c16="http://schemas.microsoft.com/office/drawing/2014/chart" uri="{C3380CC4-5D6E-409C-BE32-E72D297353CC}">
              <c16:uniqueId val="{00000006-673B-4879-8759-2A83CF632FF7}"/>
            </c:ext>
          </c:extLst>
        </c:ser>
        <c:ser>
          <c:idx val="7"/>
          <c:order val="7"/>
          <c:tx>
            <c:strRef>
              <c:f>'NSWOS demersal seiners'!$C$99</c:f>
              <c:strCache>
                <c:ptCount val="1"/>
                <c:pt idx="0">
                  <c:v>Anglerfish</c:v>
                </c:pt>
              </c:strCache>
            </c:strRef>
          </c:tx>
          <c:spPr>
            <a:solidFill>
              <a:srgbClr val="707271"/>
            </a:solidFill>
            <a:ln>
              <a:solidFill>
                <a:srgbClr val="FFFFFF"/>
              </a:solidFill>
            </a:ln>
          </c:spPr>
          <c:invertIfNegative val="0"/>
          <c:cat>
            <c:numRef>
              <c:f>'NSWOS demersal seiners'!$D$91:$M$91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seiners'!$D$99:$M$99</c:f>
              <c:numCache>
                <c:formatCode>0%</c:formatCode>
                <c:ptCount val="10"/>
                <c:pt idx="4">
                  <c:v>4.6560879221878439E-2</c:v>
                </c:pt>
                <c:pt idx="6">
                  <c:v>3.9365104364128045E-2</c:v>
                </c:pt>
              </c:numCache>
            </c:numRef>
          </c:val>
          <c:extLst>
            <c:ext xmlns:c16="http://schemas.microsoft.com/office/drawing/2014/chart" uri="{C3380CC4-5D6E-409C-BE32-E72D297353CC}">
              <c16:uniqueId val="{00000007-673B-4879-8759-2A83CF632FF7}"/>
            </c:ext>
          </c:extLst>
        </c:ser>
        <c:ser>
          <c:idx val="8"/>
          <c:order val="8"/>
          <c:tx>
            <c:strRef>
              <c:f>'NSWOS demersal seiners'!$C$100</c:f>
              <c:strCache>
                <c:ptCount val="1"/>
                <c:pt idx="0">
                  <c:v>Squid</c:v>
                </c:pt>
              </c:strCache>
            </c:strRef>
          </c:tx>
          <c:spPr>
            <a:solidFill>
              <a:srgbClr val="51AA81"/>
            </a:solidFill>
            <a:ln>
              <a:solidFill>
                <a:srgbClr val="FFFFFF"/>
              </a:solidFill>
            </a:ln>
          </c:spPr>
          <c:invertIfNegative val="0"/>
          <c:cat>
            <c:numRef>
              <c:f>'NSWOS demersal seiners'!$D$91:$M$91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seiners'!$D$100:$M$100</c:f>
              <c:numCache>
                <c:formatCode>0%</c:formatCode>
                <c:ptCount val="10"/>
                <c:pt idx="2">
                  <c:v>6.2816203319949748E-2</c:v>
                </c:pt>
                <c:pt idx="3">
                  <c:v>3.3581266061603665E-2</c:v>
                </c:pt>
                <c:pt idx="5">
                  <c:v>7.1005936652375909E-2</c:v>
                </c:pt>
              </c:numCache>
            </c:numRef>
          </c:val>
          <c:extLst>
            <c:ext xmlns:c16="http://schemas.microsoft.com/office/drawing/2014/chart" uri="{C3380CC4-5D6E-409C-BE32-E72D297353CC}">
              <c16:uniqueId val="{00000008-673B-4879-8759-2A83CF632FF7}"/>
            </c:ext>
          </c:extLst>
        </c:ser>
        <c:ser>
          <c:idx val="9"/>
          <c:order val="9"/>
          <c:tx>
            <c:strRef>
              <c:f>'NSWOS demersal seiners'!$C$101</c:f>
              <c:strCache>
                <c:ptCount val="1"/>
                <c:pt idx="0">
                  <c:v>Megrim</c:v>
                </c:pt>
              </c:strCache>
            </c:strRef>
          </c:tx>
          <c:spPr>
            <a:solidFill>
              <a:srgbClr val="169FDB"/>
            </a:solidFill>
            <a:ln>
              <a:solidFill>
                <a:srgbClr val="FFFFFF"/>
              </a:solidFill>
            </a:ln>
          </c:spPr>
          <c:invertIfNegative val="0"/>
          <c:cat>
            <c:numRef>
              <c:f>'NSWOS demersal seiners'!$D$91:$M$91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seiners'!$D$101:$M$101</c:f>
              <c:numCache>
                <c:formatCode>0%</c:formatCode>
                <c:ptCount val="10"/>
                <c:pt idx="0">
                  <c:v>4.2995540649766316E-2</c:v>
                </c:pt>
              </c:numCache>
            </c:numRef>
          </c:val>
          <c:extLst>
            <c:ext xmlns:c16="http://schemas.microsoft.com/office/drawing/2014/chart" uri="{C3380CC4-5D6E-409C-BE32-E72D297353CC}">
              <c16:uniqueId val="{00000009-673B-4879-8759-2A83CF632FF7}"/>
            </c:ext>
          </c:extLst>
        </c:ser>
        <c:ser>
          <c:idx val="10"/>
          <c:order val="10"/>
          <c:tx>
            <c:strRef>
              <c:f>'NSWOS demersal seiners'!$C$102</c:f>
              <c:strCache>
                <c:ptCount val="1"/>
                <c:pt idx="0">
                  <c:v>Others</c:v>
                </c:pt>
              </c:strCache>
            </c:strRef>
          </c:tx>
          <c:spPr>
            <a:solidFill>
              <a:srgbClr val="55585A"/>
            </a:solidFill>
            <a:ln>
              <a:solidFill>
                <a:srgbClr val="FFFFFF"/>
              </a:solidFill>
            </a:ln>
          </c:spPr>
          <c:invertIfNegative val="0"/>
          <c:cat>
            <c:numRef>
              <c:f>'NSWOS demersal seiners'!$D$91:$M$91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seiners'!$D$102:$M$102</c:f>
              <c:numCache>
                <c:formatCode>0%</c:formatCode>
                <c:ptCount val="10"/>
                <c:pt idx="0">
                  <c:v>0.10181549165609387</c:v>
                </c:pt>
                <c:pt idx="1">
                  <c:v>0.20644544053300032</c:v>
                </c:pt>
                <c:pt idx="2">
                  <c:v>0.20909580188963464</c:v>
                </c:pt>
                <c:pt idx="3">
                  <c:v>0.18751753526564144</c:v>
                </c:pt>
                <c:pt idx="4">
                  <c:v>0.23992921691894062</c:v>
                </c:pt>
                <c:pt idx="5">
                  <c:v>0.25296853174924777</c:v>
                </c:pt>
                <c:pt idx="6">
                  <c:v>0.14328146126882682</c:v>
                </c:pt>
                <c:pt idx="7">
                  <c:v>0.22972596366028528</c:v>
                </c:pt>
                <c:pt idx="8">
                  <c:v>0.34455014440741677</c:v>
                </c:pt>
                <c:pt idx="9">
                  <c:v>0.31475498669463664</c:v>
                </c:pt>
              </c:numCache>
            </c:numRef>
          </c:val>
          <c:extLst>
            <c:ext xmlns:c16="http://schemas.microsoft.com/office/drawing/2014/chart" uri="{C3380CC4-5D6E-409C-BE32-E72D297353CC}">
              <c16:uniqueId val="{0000000A-673B-4879-8759-2A83CF632FF7}"/>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o250kW'!$A$76</c:f>
          <c:strCache>
            <c:ptCount val="1"/>
            <c:pt idx="0">
              <c:v>Top 5 landed species by volume in 2020
Area VIIA nephrops over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ECE2-4CDF-A071-3F0A883E953E}"/>
              </c:ext>
            </c:extLst>
          </c:dPt>
          <c:dPt>
            <c:idx val="1"/>
            <c:bubble3D val="0"/>
            <c:spPr>
              <a:solidFill>
                <a:srgbClr val="648C2E"/>
              </a:solidFill>
              <a:ln>
                <a:solidFill>
                  <a:srgbClr val="FFFFFF"/>
                </a:solidFill>
              </a:ln>
            </c:spPr>
            <c:extLst>
              <c:ext xmlns:c16="http://schemas.microsoft.com/office/drawing/2014/chart" uri="{C3380CC4-5D6E-409C-BE32-E72D297353CC}">
                <c16:uniqueId val="{00000003-ECE2-4CDF-A071-3F0A883E953E}"/>
              </c:ext>
            </c:extLst>
          </c:dPt>
          <c:dPt>
            <c:idx val="2"/>
            <c:bubble3D val="0"/>
            <c:spPr>
              <a:solidFill>
                <a:srgbClr val="E87308"/>
              </a:solidFill>
              <a:ln>
                <a:solidFill>
                  <a:srgbClr val="FFFFFF"/>
                </a:solidFill>
              </a:ln>
            </c:spPr>
            <c:extLst>
              <c:ext xmlns:c16="http://schemas.microsoft.com/office/drawing/2014/chart" uri="{C3380CC4-5D6E-409C-BE32-E72D297353CC}">
                <c16:uniqueId val="{00000005-ECE2-4CDF-A071-3F0A883E953E}"/>
              </c:ext>
            </c:extLst>
          </c:dPt>
          <c:dPt>
            <c:idx val="3"/>
            <c:bubble3D val="0"/>
            <c:spPr>
              <a:solidFill>
                <a:srgbClr val="C1D119"/>
              </a:solidFill>
              <a:ln>
                <a:solidFill>
                  <a:srgbClr val="FFFFFF"/>
                </a:solidFill>
              </a:ln>
            </c:spPr>
            <c:extLst>
              <c:ext xmlns:c16="http://schemas.microsoft.com/office/drawing/2014/chart" uri="{C3380CC4-5D6E-409C-BE32-E72D297353CC}">
                <c16:uniqueId val="{00000007-ECE2-4CDF-A071-3F0A883E953E}"/>
              </c:ext>
            </c:extLst>
          </c:dPt>
          <c:dPt>
            <c:idx val="4"/>
            <c:bubble3D val="0"/>
            <c:spPr>
              <a:solidFill>
                <a:srgbClr val="E84A38"/>
              </a:solidFill>
              <a:ln>
                <a:solidFill>
                  <a:srgbClr val="FFFFFF"/>
                </a:solidFill>
              </a:ln>
            </c:spPr>
            <c:extLst>
              <c:ext xmlns:c16="http://schemas.microsoft.com/office/drawing/2014/chart" uri="{C3380CC4-5D6E-409C-BE32-E72D297353CC}">
                <c16:uniqueId val="{00000009-ECE2-4CDF-A071-3F0A883E953E}"/>
              </c:ext>
            </c:extLst>
          </c:dPt>
          <c:dPt>
            <c:idx val="5"/>
            <c:bubble3D val="0"/>
            <c:spPr>
              <a:solidFill>
                <a:srgbClr val="55585A"/>
              </a:solidFill>
              <a:ln>
                <a:solidFill>
                  <a:srgbClr val="FFFFFF"/>
                </a:solidFill>
              </a:ln>
            </c:spPr>
            <c:extLst>
              <c:ext xmlns:c16="http://schemas.microsoft.com/office/drawing/2014/chart" uri="{C3380CC4-5D6E-409C-BE32-E72D297353CC}">
                <c16:uniqueId val="{0000000B-ECE2-4CDF-A071-3F0A883E953E}"/>
              </c:ext>
            </c:extLst>
          </c:dPt>
          <c:cat>
            <c:strRef>
              <c:f>'Area VIIa nephrops o250kW'!$B$77:$B$82</c:f>
              <c:strCache>
                <c:ptCount val="6"/>
                <c:pt idx="0">
                  <c:v>Nephrops - 84.0%</c:v>
                </c:pt>
                <c:pt idx="1">
                  <c:v>Les. Spot. Dog - 10.2%</c:v>
                </c:pt>
                <c:pt idx="2">
                  <c:v>Anglerfish - 1.9%</c:v>
                </c:pt>
                <c:pt idx="3">
                  <c:v>Haddock - 1.3%</c:v>
                </c:pt>
                <c:pt idx="4">
                  <c:v>Cod - 0.5%</c:v>
                </c:pt>
                <c:pt idx="5">
                  <c:v>Others - 2.1%</c:v>
                </c:pt>
              </c:strCache>
            </c:strRef>
          </c:cat>
          <c:val>
            <c:numRef>
              <c:f>'Area VIIa nephrops o250kW'!$C$77:$C$82</c:f>
              <c:numCache>
                <c:formatCode>0.0%</c:formatCode>
                <c:ptCount val="6"/>
                <c:pt idx="0">
                  <c:v>0.83984275798917885</c:v>
                </c:pt>
                <c:pt idx="1">
                  <c:v>0.10227055179782348</c:v>
                </c:pt>
                <c:pt idx="2">
                  <c:v>1.8935475217069422E-2</c:v>
                </c:pt>
                <c:pt idx="3">
                  <c:v>1.2786313984456137E-2</c:v>
                </c:pt>
                <c:pt idx="4">
                  <c:v>4.9120312140626078E-3</c:v>
                </c:pt>
                <c:pt idx="5">
                  <c:v>2.1252869797409479E-2</c:v>
                </c:pt>
              </c:numCache>
            </c:numRef>
          </c:val>
          <c:extLst>
            <c:ext xmlns:c16="http://schemas.microsoft.com/office/drawing/2014/chart" uri="{C3380CC4-5D6E-409C-BE32-E72D297353CC}">
              <c16:uniqueId val="{0000000C-ECE2-4CDF-A071-3F0A883E953E}"/>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'NSWOS demersal seiners'!$B$162</c:f>
              <c:strCache>
                <c:ptCount val="1"/>
                <c:pt idx="0">
                  <c:v>Whiting</c:v>
                </c:pt>
              </c:strCache>
            </c:strRef>
          </c:tx>
          <c:spPr>
            <a:solidFill>
              <a:srgbClr val="E87308"/>
            </a:solidFill>
            <a:ln>
              <a:solidFill>
                <a:srgbClr val="FFFFFF"/>
              </a:solidFill>
            </a:ln>
          </c:spPr>
          <c:invertIfNegative val="0"/>
          <c:cat>
            <c:strRef>
              <c:f>'NSWOS demersal seiners'!$C$161:$E$161</c:f>
              <c:strCache>
                <c:ptCount val="3"/>
                <c:pt idx="0">
                  <c:v>Most
profitable
quartile</c:v>
                </c:pt>
                <c:pt idx="1">
                  <c:v>Middle 
two quartiles</c:v>
                </c:pt>
                <c:pt idx="2">
                  <c:v>Least
profitable
quartile</c:v>
                </c:pt>
              </c:strCache>
            </c:strRef>
          </c:cat>
          <c:val>
            <c:numRef>
              <c:f>'NSWOS demersal seiners'!$C$162:$E$162</c:f>
              <c:numCache>
                <c:formatCode>0%</c:formatCode>
                <c:ptCount val="3"/>
                <c:pt idx="0">
                  <c:v>0</c:v>
                </c:pt>
                <c:pt idx="1">
                  <c:v>0.23000172120291368</c:v>
                </c:pt>
                <c:pt idx="2">
                  <c:v>0</c:v>
                </c:pt>
              </c:numCache>
            </c:numRef>
          </c:val>
          <c:extLst>
            <c:ext xmlns:c16="http://schemas.microsoft.com/office/drawing/2014/chart" uri="{C3380CC4-5D6E-409C-BE32-E72D297353CC}">
              <c16:uniqueId val="{00000000-04C5-4266-95E6-68737E01E444}"/>
            </c:ext>
          </c:extLst>
        </c:ser>
        <c:ser>
          <c:idx val="1"/>
          <c:order val="1"/>
          <c:tx>
            <c:strRef>
              <c:f>'NSWOS demersal seiners'!$B$163</c:f>
              <c:strCache>
                <c:ptCount val="1"/>
                <c:pt idx="0">
                  <c:v>Haddock</c:v>
                </c:pt>
              </c:strCache>
            </c:strRef>
          </c:tx>
          <c:spPr>
            <a:solidFill>
              <a:srgbClr val="2273B9"/>
            </a:solidFill>
            <a:ln>
              <a:solidFill>
                <a:srgbClr val="FFFFFF"/>
              </a:solidFill>
            </a:ln>
          </c:spPr>
          <c:invertIfNegative val="0"/>
          <c:cat>
            <c:strRef>
              <c:f>'NSWOS demersal seiners'!$C$161:$E$161</c:f>
              <c:strCache>
                <c:ptCount val="3"/>
                <c:pt idx="0">
                  <c:v>Most
profitable
quartile</c:v>
                </c:pt>
                <c:pt idx="1">
                  <c:v>Middle 
two quartiles</c:v>
                </c:pt>
                <c:pt idx="2">
                  <c:v>Least
profitable
quartile</c:v>
                </c:pt>
              </c:strCache>
            </c:strRef>
          </c:cat>
          <c:val>
            <c:numRef>
              <c:f>'NSWOS demersal seiners'!$C$163:$E$163</c:f>
              <c:numCache>
                <c:formatCode>0%</c:formatCode>
                <c:ptCount val="3"/>
                <c:pt idx="0">
                  <c:v>0</c:v>
                </c:pt>
                <c:pt idx="1">
                  <c:v>0.21683772838209434</c:v>
                </c:pt>
                <c:pt idx="2">
                  <c:v>0</c:v>
                </c:pt>
              </c:numCache>
            </c:numRef>
          </c:val>
          <c:extLst>
            <c:ext xmlns:c16="http://schemas.microsoft.com/office/drawing/2014/chart" uri="{C3380CC4-5D6E-409C-BE32-E72D297353CC}">
              <c16:uniqueId val="{00000001-04C5-4266-95E6-68737E01E444}"/>
            </c:ext>
          </c:extLst>
        </c:ser>
        <c:ser>
          <c:idx val="2"/>
          <c:order val="2"/>
          <c:tx>
            <c:strRef>
              <c:f>'NSWOS demersal seiners'!$B$164</c:f>
              <c:strCache>
                <c:ptCount val="1"/>
                <c:pt idx="0">
                  <c:v>Plaice</c:v>
                </c:pt>
              </c:strCache>
            </c:strRef>
          </c:tx>
          <c:spPr>
            <a:solidFill>
              <a:srgbClr val="0F9AA9"/>
            </a:solidFill>
            <a:ln>
              <a:solidFill>
                <a:srgbClr val="FFFFFF"/>
              </a:solidFill>
            </a:ln>
          </c:spPr>
          <c:invertIfNegative val="0"/>
          <c:cat>
            <c:strRef>
              <c:f>'NSWOS demersal seiners'!$C$161:$E$161</c:f>
              <c:strCache>
                <c:ptCount val="3"/>
                <c:pt idx="0">
                  <c:v>Most
profitable
quartile</c:v>
                </c:pt>
                <c:pt idx="1">
                  <c:v>Middle 
two quartiles</c:v>
                </c:pt>
                <c:pt idx="2">
                  <c:v>Least
profitable
quartile</c:v>
                </c:pt>
              </c:strCache>
            </c:strRef>
          </c:cat>
          <c:val>
            <c:numRef>
              <c:f>'NSWOS demersal seiners'!$C$164:$E$164</c:f>
              <c:numCache>
                <c:formatCode>0%</c:formatCode>
                <c:ptCount val="3"/>
                <c:pt idx="0">
                  <c:v>0</c:v>
                </c:pt>
                <c:pt idx="1">
                  <c:v>0.10155116663505667</c:v>
                </c:pt>
                <c:pt idx="2">
                  <c:v>0</c:v>
                </c:pt>
              </c:numCache>
            </c:numRef>
          </c:val>
          <c:extLst>
            <c:ext xmlns:c16="http://schemas.microsoft.com/office/drawing/2014/chart" uri="{C3380CC4-5D6E-409C-BE32-E72D297353CC}">
              <c16:uniqueId val="{00000002-04C5-4266-95E6-68737E01E444}"/>
            </c:ext>
          </c:extLst>
        </c:ser>
        <c:ser>
          <c:idx val="3"/>
          <c:order val="3"/>
          <c:tx>
            <c:strRef>
              <c:f>'NSWOS demersal seiners'!$B$165</c:f>
              <c:strCache>
                <c:ptCount val="1"/>
                <c:pt idx="0">
                  <c:v>Red Mullet</c:v>
                </c:pt>
              </c:strCache>
            </c:strRef>
          </c:tx>
          <c:spPr>
            <a:solidFill>
              <a:srgbClr val="E84A38"/>
            </a:solidFill>
            <a:ln>
              <a:solidFill>
                <a:srgbClr val="FFFFFF"/>
              </a:solidFill>
            </a:ln>
          </c:spPr>
          <c:invertIfNegative val="0"/>
          <c:cat>
            <c:strRef>
              <c:f>'NSWOS demersal seiners'!$C$161:$E$161</c:f>
              <c:strCache>
                <c:ptCount val="3"/>
                <c:pt idx="0">
                  <c:v>Most
profitable
quartile</c:v>
                </c:pt>
                <c:pt idx="1">
                  <c:v>Middle 
two quartiles</c:v>
                </c:pt>
                <c:pt idx="2">
                  <c:v>Least
profitable
quartile</c:v>
                </c:pt>
              </c:strCache>
            </c:strRef>
          </c:cat>
          <c:val>
            <c:numRef>
              <c:f>'NSWOS demersal seiners'!$C$165:$E$165</c:f>
              <c:numCache>
                <c:formatCode>0%</c:formatCode>
                <c:ptCount val="3"/>
                <c:pt idx="0">
                  <c:v>0</c:v>
                </c:pt>
                <c:pt idx="1">
                  <c:v>8.6537691989018978E-2</c:v>
                </c:pt>
                <c:pt idx="2">
                  <c:v>0</c:v>
                </c:pt>
              </c:numCache>
            </c:numRef>
          </c:val>
          <c:extLst>
            <c:ext xmlns:c16="http://schemas.microsoft.com/office/drawing/2014/chart" uri="{C3380CC4-5D6E-409C-BE32-E72D297353CC}">
              <c16:uniqueId val="{00000003-04C5-4266-95E6-68737E01E444}"/>
            </c:ext>
          </c:extLst>
        </c:ser>
        <c:ser>
          <c:idx val="4"/>
          <c:order val="4"/>
          <c:tx>
            <c:strRef>
              <c:f>'NSWOS demersal seiners'!$B$166</c:f>
              <c:strCache>
                <c:ptCount val="1"/>
                <c:pt idx="0">
                  <c:v>Cod</c:v>
                </c:pt>
              </c:strCache>
            </c:strRef>
          </c:tx>
          <c:spPr>
            <a:solidFill>
              <a:srgbClr val="648C2E"/>
            </a:solidFill>
            <a:ln>
              <a:solidFill>
                <a:srgbClr val="FFFFFF"/>
              </a:solidFill>
            </a:ln>
          </c:spPr>
          <c:invertIfNegative val="0"/>
          <c:cat>
            <c:strRef>
              <c:f>'NSWOS demersal seiners'!$C$161:$E$161</c:f>
              <c:strCache>
                <c:ptCount val="3"/>
                <c:pt idx="0">
                  <c:v>Most
profitable
quartile</c:v>
                </c:pt>
                <c:pt idx="1">
                  <c:v>Middle 
two quartiles</c:v>
                </c:pt>
                <c:pt idx="2">
                  <c:v>Least
profitable
quartile</c:v>
                </c:pt>
              </c:strCache>
            </c:strRef>
          </c:cat>
          <c:val>
            <c:numRef>
              <c:f>'NSWOS demersal seiners'!$C$166:$E$166</c:f>
              <c:numCache>
                <c:formatCode>0%</c:formatCode>
                <c:ptCount val="3"/>
                <c:pt idx="0">
                  <c:v>0</c:v>
                </c:pt>
                <c:pt idx="1">
                  <c:v>7.4177569678437819E-2</c:v>
                </c:pt>
                <c:pt idx="2">
                  <c:v>0</c:v>
                </c:pt>
              </c:numCache>
            </c:numRef>
          </c:val>
          <c:extLst>
            <c:ext xmlns:c16="http://schemas.microsoft.com/office/drawing/2014/chart" uri="{C3380CC4-5D6E-409C-BE32-E72D297353CC}">
              <c16:uniqueId val="{00000004-04C5-4266-95E6-68737E01E444}"/>
            </c:ext>
          </c:extLst>
        </c:ser>
        <c:ser>
          <c:idx val="5"/>
          <c:order val="5"/>
          <c:tx>
            <c:strRef>
              <c:f>'NSWOS demersal seiners'!$B$167</c:f>
              <c:strCache>
                <c:ptCount val="1"/>
                <c:pt idx="0">
                  <c:v>Squid</c:v>
                </c:pt>
              </c:strCache>
            </c:strRef>
          </c:tx>
          <c:spPr>
            <a:solidFill>
              <a:srgbClr val="C1D119"/>
            </a:solidFill>
            <a:ln>
              <a:solidFill>
                <a:srgbClr val="FFFFFF"/>
              </a:solidFill>
            </a:ln>
          </c:spPr>
          <c:invertIfNegative val="0"/>
          <c:cat>
            <c:strRef>
              <c:f>'NSWOS demersal seiners'!$C$161:$E$161</c:f>
              <c:strCache>
                <c:ptCount val="3"/>
                <c:pt idx="0">
                  <c:v>Most
profitable
quartile</c:v>
                </c:pt>
                <c:pt idx="1">
                  <c:v>Middle 
two quartiles</c:v>
                </c:pt>
                <c:pt idx="2">
                  <c:v>Least
profitable
quartile</c:v>
                </c:pt>
              </c:strCache>
            </c:strRef>
          </c:cat>
          <c:val>
            <c:numRef>
              <c:f>'NSWOS demersal seiners'!$C$167:$E$167</c:f>
              <c:numCache>
                <c:formatCode>0%</c:formatCode>
                <c:ptCount val="3"/>
                <c:pt idx="0">
                  <c:v>0</c:v>
                </c:pt>
                <c:pt idx="1">
                  <c:v>0</c:v>
                </c:pt>
                <c:pt idx="2">
                  <c:v>0</c:v>
                </c:pt>
              </c:numCache>
            </c:numRef>
          </c:val>
          <c:extLst>
            <c:ext xmlns:c16="http://schemas.microsoft.com/office/drawing/2014/chart" uri="{C3380CC4-5D6E-409C-BE32-E72D297353CC}">
              <c16:uniqueId val="{00000005-04C5-4266-95E6-68737E01E444}"/>
            </c:ext>
          </c:extLst>
        </c:ser>
        <c:ser>
          <c:idx val="6"/>
          <c:order val="6"/>
          <c:tx>
            <c:strRef>
              <c:f>'NSWOS demersal seiners'!$B$168</c:f>
              <c:strCache>
                <c:ptCount val="1"/>
                <c:pt idx="0">
                  <c:v>Hake</c:v>
                </c:pt>
              </c:strCache>
            </c:strRef>
          </c:tx>
          <c:spPr>
            <a:solidFill>
              <a:srgbClr val="FED825"/>
            </a:solidFill>
            <a:ln>
              <a:solidFill>
                <a:srgbClr val="FFFFFF"/>
              </a:solidFill>
            </a:ln>
          </c:spPr>
          <c:invertIfNegative val="0"/>
          <c:cat>
            <c:strRef>
              <c:f>'NSWOS demersal seiners'!$C$161:$E$161</c:f>
              <c:strCache>
                <c:ptCount val="3"/>
                <c:pt idx="0">
                  <c:v>Most
profitable
quartile</c:v>
                </c:pt>
                <c:pt idx="1">
                  <c:v>Middle 
two quartiles</c:v>
                </c:pt>
                <c:pt idx="2">
                  <c:v>Least
profitable
quartile</c:v>
                </c:pt>
              </c:strCache>
            </c:strRef>
          </c:cat>
          <c:val>
            <c:numRef>
              <c:f>'NSWOS demersal seiners'!$C$168:$E$168</c:f>
              <c:numCache>
                <c:formatCode>0%</c:formatCode>
                <c:ptCount val="3"/>
                <c:pt idx="0">
                  <c:v>0</c:v>
                </c:pt>
                <c:pt idx="1">
                  <c:v>0</c:v>
                </c:pt>
                <c:pt idx="2">
                  <c:v>0</c:v>
                </c:pt>
              </c:numCache>
            </c:numRef>
          </c:val>
          <c:extLst>
            <c:ext xmlns:c16="http://schemas.microsoft.com/office/drawing/2014/chart" uri="{C3380CC4-5D6E-409C-BE32-E72D297353CC}">
              <c16:uniqueId val="{00000006-04C5-4266-95E6-68737E01E444}"/>
            </c:ext>
          </c:extLst>
        </c:ser>
        <c:ser>
          <c:idx val="7"/>
          <c:order val="7"/>
          <c:tx>
            <c:strRef>
              <c:f>'NSWOS demersal seiners'!$B$169</c:f>
              <c:strCache>
                <c:ptCount val="1"/>
                <c:pt idx="0">
                  <c:v>Saithe</c:v>
                </c:pt>
              </c:strCache>
            </c:strRef>
          </c:tx>
          <c:spPr>
            <a:solidFill>
              <a:srgbClr val="707271"/>
            </a:solidFill>
            <a:ln>
              <a:solidFill>
                <a:srgbClr val="FFFFFF"/>
              </a:solidFill>
            </a:ln>
          </c:spPr>
          <c:invertIfNegative val="0"/>
          <c:cat>
            <c:strRef>
              <c:f>'NSWOS demersal seiners'!$C$161:$E$161</c:f>
              <c:strCache>
                <c:ptCount val="3"/>
                <c:pt idx="0">
                  <c:v>Most
profitable
quartile</c:v>
                </c:pt>
                <c:pt idx="1">
                  <c:v>Middle 
two quartiles</c:v>
                </c:pt>
                <c:pt idx="2">
                  <c:v>Least
profitable
quartile</c:v>
                </c:pt>
              </c:strCache>
            </c:strRef>
          </c:cat>
          <c:val>
            <c:numRef>
              <c:f>'NSWOS demersal seiners'!$C$169:$E$169</c:f>
              <c:numCache>
                <c:formatCode>0%</c:formatCode>
                <c:ptCount val="3"/>
                <c:pt idx="0">
                  <c:v>0</c:v>
                </c:pt>
                <c:pt idx="1">
                  <c:v>0</c:v>
                </c:pt>
                <c:pt idx="2">
                  <c:v>0</c:v>
                </c:pt>
              </c:numCache>
            </c:numRef>
          </c:val>
          <c:extLst>
            <c:ext xmlns:c16="http://schemas.microsoft.com/office/drawing/2014/chart" uri="{C3380CC4-5D6E-409C-BE32-E72D297353CC}">
              <c16:uniqueId val="{00000007-04C5-4266-95E6-68737E01E444}"/>
            </c:ext>
          </c:extLst>
        </c:ser>
        <c:ser>
          <c:idx val="8"/>
          <c:order val="8"/>
          <c:tx>
            <c:strRef>
              <c:f>'NSWOS demersal seiners'!$B$170</c:f>
              <c:strCache>
                <c:ptCount val="1"/>
                <c:pt idx="0">
                  <c:v>Others</c:v>
                </c:pt>
              </c:strCache>
            </c:strRef>
          </c:tx>
          <c:spPr>
            <a:solidFill>
              <a:srgbClr val="55585A"/>
            </a:solidFill>
            <a:ln>
              <a:solidFill>
                <a:srgbClr val="FFFFFF"/>
              </a:solidFill>
            </a:ln>
          </c:spPr>
          <c:invertIfNegative val="0"/>
          <c:cat>
            <c:strRef>
              <c:f>'NSWOS demersal seiners'!$C$161:$E$161</c:f>
              <c:strCache>
                <c:ptCount val="3"/>
                <c:pt idx="0">
                  <c:v>Most
profitable
quartile</c:v>
                </c:pt>
                <c:pt idx="1">
                  <c:v>Middle 
two quartiles</c:v>
                </c:pt>
                <c:pt idx="2">
                  <c:v>Least
profitable
quartile</c:v>
                </c:pt>
              </c:strCache>
            </c:strRef>
          </c:cat>
          <c:val>
            <c:numRef>
              <c:f>'NSWOS demersal seiners'!$C$170:$E$170</c:f>
              <c:numCache>
                <c:formatCode>0%</c:formatCode>
                <c:ptCount val="3"/>
                <c:pt idx="0">
                  <c:v>0</c:v>
                </c:pt>
                <c:pt idx="1">
                  <c:v>0.29089412211247856</c:v>
                </c:pt>
                <c:pt idx="2">
                  <c:v>0</c:v>
                </c:pt>
              </c:numCache>
            </c:numRef>
          </c:val>
          <c:extLst>
            <c:ext xmlns:c16="http://schemas.microsoft.com/office/drawing/2014/chart" uri="{C3380CC4-5D6E-409C-BE32-E72D297353CC}">
              <c16:uniqueId val="{00000008-04C5-4266-95E6-68737E01E444}"/>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'NSWOS demersal seiners'!$H$162</c:f>
              <c:strCache>
                <c:ptCount val="1"/>
                <c:pt idx="0">
                  <c:v>Haddock</c:v>
                </c:pt>
              </c:strCache>
            </c:strRef>
          </c:tx>
          <c:spPr>
            <a:solidFill>
              <a:srgbClr val="2273B9"/>
            </a:solidFill>
            <a:ln>
              <a:solidFill>
                <a:srgbClr val="FFFFFF"/>
              </a:solidFill>
            </a:ln>
          </c:spPr>
          <c:invertIfNegative val="0"/>
          <c:cat>
            <c:strRef>
              <c:f>'NSWOS demersal seiners'!$I$161:$K$161</c:f>
              <c:strCache>
                <c:ptCount val="3"/>
                <c:pt idx="0">
                  <c:v>Most
profitable
quartile</c:v>
                </c:pt>
                <c:pt idx="1">
                  <c:v>Middle 
two quartiles</c:v>
                </c:pt>
                <c:pt idx="2">
                  <c:v>Least
profitable
quartile</c:v>
                </c:pt>
              </c:strCache>
            </c:strRef>
          </c:cat>
          <c:val>
            <c:numRef>
              <c:f>'NSWOS demersal seiners'!$I$162:$K$162</c:f>
              <c:numCache>
                <c:formatCode>0%</c:formatCode>
                <c:ptCount val="3"/>
                <c:pt idx="0">
                  <c:v>0</c:v>
                </c:pt>
                <c:pt idx="1">
                  <c:v>0.16043769548081419</c:v>
                </c:pt>
                <c:pt idx="2">
                  <c:v>0</c:v>
                </c:pt>
              </c:numCache>
            </c:numRef>
          </c:val>
          <c:extLst>
            <c:ext xmlns:c16="http://schemas.microsoft.com/office/drawing/2014/chart" uri="{C3380CC4-5D6E-409C-BE32-E72D297353CC}">
              <c16:uniqueId val="{00000000-655F-4033-A87D-E089A84AFDDA}"/>
            </c:ext>
          </c:extLst>
        </c:ser>
        <c:ser>
          <c:idx val="1"/>
          <c:order val="1"/>
          <c:tx>
            <c:strRef>
              <c:f>'NSWOS demersal seiners'!$H$163</c:f>
              <c:strCache>
                <c:ptCount val="1"/>
                <c:pt idx="0">
                  <c:v>Whiting</c:v>
                </c:pt>
              </c:strCache>
            </c:strRef>
          </c:tx>
          <c:spPr>
            <a:solidFill>
              <a:srgbClr val="E87308"/>
            </a:solidFill>
            <a:ln>
              <a:solidFill>
                <a:srgbClr val="FFFFFF"/>
              </a:solidFill>
            </a:ln>
          </c:spPr>
          <c:invertIfNegative val="0"/>
          <c:cat>
            <c:strRef>
              <c:f>'NSWOS demersal seiners'!$I$161:$K$161</c:f>
              <c:strCache>
                <c:ptCount val="3"/>
                <c:pt idx="0">
                  <c:v>Most
profitable
quartile</c:v>
                </c:pt>
                <c:pt idx="1">
                  <c:v>Middle 
two quartiles</c:v>
                </c:pt>
                <c:pt idx="2">
                  <c:v>Least
profitable
quartile</c:v>
                </c:pt>
              </c:strCache>
            </c:strRef>
          </c:cat>
          <c:val>
            <c:numRef>
              <c:f>'NSWOS demersal seiners'!$I$163:$K$163</c:f>
              <c:numCache>
                <c:formatCode>0%</c:formatCode>
                <c:ptCount val="3"/>
                <c:pt idx="0">
                  <c:v>0</c:v>
                </c:pt>
                <c:pt idx="1">
                  <c:v>0.15884718046218019</c:v>
                </c:pt>
                <c:pt idx="2">
                  <c:v>0</c:v>
                </c:pt>
              </c:numCache>
            </c:numRef>
          </c:val>
          <c:extLst>
            <c:ext xmlns:c16="http://schemas.microsoft.com/office/drawing/2014/chart" uri="{C3380CC4-5D6E-409C-BE32-E72D297353CC}">
              <c16:uniqueId val="{00000001-655F-4033-A87D-E089A84AFDDA}"/>
            </c:ext>
          </c:extLst>
        </c:ser>
        <c:ser>
          <c:idx val="2"/>
          <c:order val="2"/>
          <c:tx>
            <c:strRef>
              <c:f>'NSWOS demersal seiners'!$H$164</c:f>
              <c:strCache>
                <c:ptCount val="1"/>
                <c:pt idx="0">
                  <c:v>Cod</c:v>
                </c:pt>
              </c:strCache>
            </c:strRef>
          </c:tx>
          <c:spPr>
            <a:solidFill>
              <a:srgbClr val="648C2E"/>
            </a:solidFill>
            <a:ln>
              <a:solidFill>
                <a:srgbClr val="FFFFFF"/>
              </a:solidFill>
            </a:ln>
          </c:spPr>
          <c:invertIfNegative val="0"/>
          <c:cat>
            <c:strRef>
              <c:f>'NSWOS demersal seiners'!$I$161:$K$161</c:f>
              <c:strCache>
                <c:ptCount val="3"/>
                <c:pt idx="0">
                  <c:v>Most
profitable
quartile</c:v>
                </c:pt>
                <c:pt idx="1">
                  <c:v>Middle 
two quartiles</c:v>
                </c:pt>
                <c:pt idx="2">
                  <c:v>Least
profitable
quartile</c:v>
                </c:pt>
              </c:strCache>
            </c:strRef>
          </c:cat>
          <c:val>
            <c:numRef>
              <c:f>'NSWOS demersal seiners'!$I$164:$K$164</c:f>
              <c:numCache>
                <c:formatCode>0%</c:formatCode>
                <c:ptCount val="3"/>
                <c:pt idx="0">
                  <c:v>0</c:v>
                </c:pt>
                <c:pt idx="1">
                  <c:v>0.13332646635282172</c:v>
                </c:pt>
                <c:pt idx="2">
                  <c:v>0</c:v>
                </c:pt>
              </c:numCache>
            </c:numRef>
          </c:val>
          <c:extLst>
            <c:ext xmlns:c16="http://schemas.microsoft.com/office/drawing/2014/chart" uri="{C3380CC4-5D6E-409C-BE32-E72D297353CC}">
              <c16:uniqueId val="{00000002-655F-4033-A87D-E089A84AFDDA}"/>
            </c:ext>
          </c:extLst>
        </c:ser>
        <c:ser>
          <c:idx val="3"/>
          <c:order val="3"/>
          <c:tx>
            <c:strRef>
              <c:f>'NSWOS demersal seiners'!$H$165</c:f>
              <c:strCache>
                <c:ptCount val="1"/>
                <c:pt idx="0">
                  <c:v>Red Mullet</c:v>
                </c:pt>
              </c:strCache>
            </c:strRef>
          </c:tx>
          <c:spPr>
            <a:solidFill>
              <a:srgbClr val="E84A38"/>
            </a:solidFill>
            <a:ln>
              <a:solidFill>
                <a:srgbClr val="FFFFFF"/>
              </a:solidFill>
            </a:ln>
          </c:spPr>
          <c:invertIfNegative val="0"/>
          <c:cat>
            <c:strRef>
              <c:f>'NSWOS demersal seiners'!$I$161:$K$161</c:f>
              <c:strCache>
                <c:ptCount val="3"/>
                <c:pt idx="0">
                  <c:v>Most
profitable
quartile</c:v>
                </c:pt>
                <c:pt idx="1">
                  <c:v>Middle 
two quartiles</c:v>
                </c:pt>
                <c:pt idx="2">
                  <c:v>Least
profitable
quartile</c:v>
                </c:pt>
              </c:strCache>
            </c:strRef>
          </c:cat>
          <c:val>
            <c:numRef>
              <c:f>'NSWOS demersal seiners'!$I$165:$K$165</c:f>
              <c:numCache>
                <c:formatCode>0%</c:formatCode>
                <c:ptCount val="3"/>
                <c:pt idx="0">
                  <c:v>0</c:v>
                </c:pt>
                <c:pt idx="1">
                  <c:v>0.12441411021502743</c:v>
                </c:pt>
                <c:pt idx="2">
                  <c:v>0</c:v>
                </c:pt>
              </c:numCache>
            </c:numRef>
          </c:val>
          <c:extLst>
            <c:ext xmlns:c16="http://schemas.microsoft.com/office/drawing/2014/chart" uri="{C3380CC4-5D6E-409C-BE32-E72D297353CC}">
              <c16:uniqueId val="{00000003-655F-4033-A87D-E089A84AFDDA}"/>
            </c:ext>
          </c:extLst>
        </c:ser>
        <c:ser>
          <c:idx val="4"/>
          <c:order val="4"/>
          <c:tx>
            <c:strRef>
              <c:f>'NSWOS demersal seiners'!$H$166</c:f>
              <c:strCache>
                <c:ptCount val="1"/>
                <c:pt idx="0">
                  <c:v>Squid</c:v>
                </c:pt>
              </c:strCache>
            </c:strRef>
          </c:tx>
          <c:spPr>
            <a:solidFill>
              <a:srgbClr val="C1D119"/>
            </a:solidFill>
            <a:ln>
              <a:solidFill>
                <a:srgbClr val="FFFFFF"/>
              </a:solidFill>
            </a:ln>
          </c:spPr>
          <c:invertIfNegative val="0"/>
          <c:cat>
            <c:strRef>
              <c:f>'NSWOS demersal seiners'!$I$161:$K$161</c:f>
              <c:strCache>
                <c:ptCount val="3"/>
                <c:pt idx="0">
                  <c:v>Most
profitable
quartile</c:v>
                </c:pt>
                <c:pt idx="1">
                  <c:v>Middle 
two quartiles</c:v>
                </c:pt>
                <c:pt idx="2">
                  <c:v>Least
profitable
quartile</c:v>
                </c:pt>
              </c:strCache>
            </c:strRef>
          </c:cat>
          <c:val>
            <c:numRef>
              <c:f>'NSWOS demersal seiners'!$I$166:$K$166</c:f>
              <c:numCache>
                <c:formatCode>0%</c:formatCode>
                <c:ptCount val="3"/>
                <c:pt idx="0">
                  <c:v>0</c:v>
                </c:pt>
                <c:pt idx="1">
                  <c:v>0.17548021260550978</c:v>
                </c:pt>
                <c:pt idx="2">
                  <c:v>0</c:v>
                </c:pt>
              </c:numCache>
            </c:numRef>
          </c:val>
          <c:extLst>
            <c:ext xmlns:c16="http://schemas.microsoft.com/office/drawing/2014/chart" uri="{C3380CC4-5D6E-409C-BE32-E72D297353CC}">
              <c16:uniqueId val="{00000004-655F-4033-A87D-E089A84AFDDA}"/>
            </c:ext>
          </c:extLst>
        </c:ser>
        <c:ser>
          <c:idx val="5"/>
          <c:order val="5"/>
          <c:tx>
            <c:strRef>
              <c:f>'NSWOS demersal seiners'!$H$167</c:f>
              <c:strCache>
                <c:ptCount val="1"/>
                <c:pt idx="0">
                  <c:v>Plaice</c:v>
                </c:pt>
              </c:strCache>
            </c:strRef>
          </c:tx>
          <c:spPr>
            <a:solidFill>
              <a:srgbClr val="0F9AA9"/>
            </a:solidFill>
            <a:ln>
              <a:solidFill>
                <a:srgbClr val="FFFFFF"/>
              </a:solidFill>
            </a:ln>
          </c:spPr>
          <c:invertIfNegative val="0"/>
          <c:cat>
            <c:strRef>
              <c:f>'NSWOS demersal seiners'!$I$161:$K$161</c:f>
              <c:strCache>
                <c:ptCount val="3"/>
                <c:pt idx="0">
                  <c:v>Most
profitable
quartile</c:v>
                </c:pt>
                <c:pt idx="1">
                  <c:v>Middle 
two quartiles</c:v>
                </c:pt>
                <c:pt idx="2">
                  <c:v>Least
profitable
quartile</c:v>
                </c:pt>
              </c:strCache>
            </c:strRef>
          </c:cat>
          <c:val>
            <c:numRef>
              <c:f>'NSWOS demersal seiners'!$I$167:$K$167</c:f>
              <c:numCache>
                <c:formatCode>0%</c:formatCode>
                <c:ptCount val="3"/>
                <c:pt idx="0">
                  <c:v>0</c:v>
                </c:pt>
                <c:pt idx="1">
                  <c:v>0</c:v>
                </c:pt>
                <c:pt idx="2">
                  <c:v>0</c:v>
                </c:pt>
              </c:numCache>
            </c:numRef>
          </c:val>
          <c:extLst>
            <c:ext xmlns:c16="http://schemas.microsoft.com/office/drawing/2014/chart" uri="{C3380CC4-5D6E-409C-BE32-E72D297353CC}">
              <c16:uniqueId val="{00000005-655F-4033-A87D-E089A84AFDDA}"/>
            </c:ext>
          </c:extLst>
        </c:ser>
        <c:ser>
          <c:idx val="6"/>
          <c:order val="6"/>
          <c:tx>
            <c:strRef>
              <c:f>'NSWOS demersal seiners'!$H$168</c:f>
              <c:strCache>
                <c:ptCount val="1"/>
                <c:pt idx="0">
                  <c:v>Hake</c:v>
                </c:pt>
              </c:strCache>
            </c:strRef>
          </c:tx>
          <c:spPr>
            <a:solidFill>
              <a:srgbClr val="FED825"/>
            </a:solidFill>
            <a:ln>
              <a:solidFill>
                <a:srgbClr val="FFFFFF"/>
              </a:solidFill>
            </a:ln>
          </c:spPr>
          <c:invertIfNegative val="0"/>
          <c:cat>
            <c:strRef>
              <c:f>'NSWOS demersal seiners'!$I$161:$K$161</c:f>
              <c:strCache>
                <c:ptCount val="3"/>
                <c:pt idx="0">
                  <c:v>Most
profitable
quartile</c:v>
                </c:pt>
                <c:pt idx="1">
                  <c:v>Middle 
two quartiles</c:v>
                </c:pt>
                <c:pt idx="2">
                  <c:v>Least
profitable
quartile</c:v>
                </c:pt>
              </c:strCache>
            </c:strRef>
          </c:cat>
          <c:val>
            <c:numRef>
              <c:f>'NSWOS demersal seiners'!$I$168:$K$168</c:f>
              <c:numCache>
                <c:formatCode>0%</c:formatCode>
                <c:ptCount val="3"/>
                <c:pt idx="0">
                  <c:v>0</c:v>
                </c:pt>
                <c:pt idx="1">
                  <c:v>0</c:v>
                </c:pt>
                <c:pt idx="2">
                  <c:v>0</c:v>
                </c:pt>
              </c:numCache>
            </c:numRef>
          </c:val>
          <c:extLst>
            <c:ext xmlns:c16="http://schemas.microsoft.com/office/drawing/2014/chart" uri="{C3380CC4-5D6E-409C-BE32-E72D297353CC}">
              <c16:uniqueId val="{00000006-655F-4033-A87D-E089A84AFDDA}"/>
            </c:ext>
          </c:extLst>
        </c:ser>
        <c:ser>
          <c:idx val="7"/>
          <c:order val="7"/>
          <c:tx>
            <c:strRef>
              <c:f>'NSWOS demersal seiners'!$H$169</c:f>
              <c:strCache>
                <c:ptCount val="1"/>
                <c:pt idx="0">
                  <c:v>Megrim</c:v>
                </c:pt>
              </c:strCache>
            </c:strRef>
          </c:tx>
          <c:spPr>
            <a:solidFill>
              <a:srgbClr val="51AA81"/>
            </a:solidFill>
            <a:ln>
              <a:solidFill>
                <a:srgbClr val="FFFFFF"/>
              </a:solidFill>
            </a:ln>
          </c:spPr>
          <c:invertIfNegative val="0"/>
          <c:cat>
            <c:strRef>
              <c:f>'NSWOS demersal seiners'!$I$161:$K$161</c:f>
              <c:strCache>
                <c:ptCount val="3"/>
                <c:pt idx="0">
                  <c:v>Most
profitable
quartile</c:v>
                </c:pt>
                <c:pt idx="1">
                  <c:v>Middle 
two quartiles</c:v>
                </c:pt>
                <c:pt idx="2">
                  <c:v>Least
profitable
quartile</c:v>
                </c:pt>
              </c:strCache>
            </c:strRef>
          </c:cat>
          <c:val>
            <c:numRef>
              <c:f>'NSWOS demersal seiners'!$I$169:$K$169</c:f>
              <c:numCache>
                <c:formatCode>0%</c:formatCode>
                <c:ptCount val="3"/>
                <c:pt idx="0">
                  <c:v>0</c:v>
                </c:pt>
                <c:pt idx="1">
                  <c:v>0</c:v>
                </c:pt>
                <c:pt idx="2">
                  <c:v>0</c:v>
                </c:pt>
              </c:numCache>
            </c:numRef>
          </c:val>
          <c:extLst>
            <c:ext xmlns:c16="http://schemas.microsoft.com/office/drawing/2014/chart" uri="{C3380CC4-5D6E-409C-BE32-E72D297353CC}">
              <c16:uniqueId val="{00000007-655F-4033-A87D-E089A84AFDDA}"/>
            </c:ext>
          </c:extLst>
        </c:ser>
        <c:ser>
          <c:idx val="8"/>
          <c:order val="8"/>
          <c:tx>
            <c:strRef>
              <c:f>'NSWOS demersal seiners'!$H$170</c:f>
              <c:strCache>
                <c:ptCount val="1"/>
                <c:pt idx="0">
                  <c:v>Others</c:v>
                </c:pt>
              </c:strCache>
            </c:strRef>
          </c:tx>
          <c:spPr>
            <a:solidFill>
              <a:srgbClr val="55585A"/>
            </a:solidFill>
            <a:ln>
              <a:solidFill>
                <a:srgbClr val="FFFFFF"/>
              </a:solidFill>
            </a:ln>
          </c:spPr>
          <c:invertIfNegative val="0"/>
          <c:cat>
            <c:strRef>
              <c:f>'NSWOS demersal seiners'!$I$161:$K$161</c:f>
              <c:strCache>
                <c:ptCount val="3"/>
                <c:pt idx="0">
                  <c:v>Most
profitable
quartile</c:v>
                </c:pt>
                <c:pt idx="1">
                  <c:v>Middle 
two quartiles</c:v>
                </c:pt>
                <c:pt idx="2">
                  <c:v>Least
profitable
quartile</c:v>
                </c:pt>
              </c:strCache>
            </c:strRef>
          </c:cat>
          <c:val>
            <c:numRef>
              <c:f>'NSWOS demersal seiners'!$I$170:$K$170</c:f>
              <c:numCache>
                <c:formatCode>0%</c:formatCode>
                <c:ptCount val="3"/>
                <c:pt idx="0">
                  <c:v>0</c:v>
                </c:pt>
                <c:pt idx="1">
                  <c:v>0.24749433488364669</c:v>
                </c:pt>
                <c:pt idx="2">
                  <c:v>0</c:v>
                </c:pt>
              </c:numCache>
            </c:numRef>
          </c:val>
          <c:extLst>
            <c:ext xmlns:c16="http://schemas.microsoft.com/office/drawing/2014/chart" uri="{C3380CC4-5D6E-409C-BE32-E72D297353CC}">
              <c16:uniqueId val="{00000008-655F-4033-A87D-E089A84AFDDA}"/>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'NSWOS demersal seiners'!$K$139</c:f>
              <c:strCache>
                <c:ptCount val="1"/>
                <c:pt idx="0">
                  <c:v>Total income</c:v>
                </c:pt>
              </c:strCache>
            </c:strRef>
          </c:tx>
          <c:spPr>
            <a:solidFill>
              <a:srgbClr val="087CBB"/>
            </a:solidFill>
            <a:ln>
              <a:solidFill>
                <a:schemeClr val="accent1"/>
              </a:solidFill>
            </a:ln>
          </c:spPr>
          <c:invertIfNegative val="0"/>
          <c:cat>
            <c:strRef>
              <c:f>'NSWOS demersal seiners'!$L$138:$N$138</c:f>
              <c:strCache>
                <c:ptCount val="3"/>
                <c:pt idx="0">
                  <c:v>Most
profitable
quartile</c:v>
                </c:pt>
                <c:pt idx="1">
                  <c:v>Middle
two quartiles</c:v>
                </c:pt>
                <c:pt idx="2">
                  <c:v>Least
profitable
quartile</c:v>
                </c:pt>
              </c:strCache>
            </c:strRef>
          </c:cat>
          <c:val>
            <c:numRef>
              <c:f>'NSWOS demersal seiners'!$L$139:$N$139</c:f>
              <c:numCache>
                <c:formatCode>#,##0</c:formatCode>
                <c:ptCount val="3"/>
                <c:pt idx="0">
                  <c:v>0</c:v>
                </c:pt>
                <c:pt idx="1">
                  <c:v>1763.0228125000001</c:v>
                </c:pt>
                <c:pt idx="2">
                  <c:v>0</c:v>
                </c:pt>
              </c:numCache>
            </c:numRef>
          </c:val>
          <c:extLst>
            <c:ext xmlns:c16="http://schemas.microsoft.com/office/drawing/2014/chart" uri="{C3380CC4-5D6E-409C-BE32-E72D297353CC}">
              <c16:uniqueId val="{00000000-14B2-4CF7-B799-2A0894B3879C}"/>
            </c:ext>
          </c:extLst>
        </c:ser>
        <c:ser>
          <c:idx val="1"/>
          <c:order val="1"/>
          <c:tx>
            <c:strRef>
              <c:f>'NSWOS demersal seiners'!$K$140</c:f>
              <c:strCache>
                <c:ptCount val="1"/>
                <c:pt idx="0">
                  <c:v>Operating costs</c:v>
                </c:pt>
              </c:strCache>
            </c:strRef>
          </c:tx>
          <c:spPr>
            <a:solidFill>
              <a:srgbClr val="E87308"/>
            </a:solidFill>
          </c:spPr>
          <c:invertIfNegative val="0"/>
          <c:cat>
            <c:strRef>
              <c:f>'NSWOS demersal seiners'!$L$138:$N$138</c:f>
              <c:strCache>
                <c:ptCount val="3"/>
                <c:pt idx="0">
                  <c:v>Most
profitable
quartile</c:v>
                </c:pt>
                <c:pt idx="1">
                  <c:v>Middle
two quartiles</c:v>
                </c:pt>
                <c:pt idx="2">
                  <c:v>Least
profitable
quartile</c:v>
                </c:pt>
              </c:strCache>
            </c:strRef>
          </c:cat>
          <c:val>
            <c:numRef>
              <c:f>'NSWOS demersal seiners'!$L$140:$N$140</c:f>
              <c:numCache>
                <c:formatCode>#,##0</c:formatCode>
                <c:ptCount val="3"/>
                <c:pt idx="0">
                  <c:v>0</c:v>
                </c:pt>
                <c:pt idx="1">
                  <c:v>1491.8230000000001</c:v>
                </c:pt>
                <c:pt idx="2">
                  <c:v>0</c:v>
                </c:pt>
              </c:numCache>
            </c:numRef>
          </c:val>
          <c:extLst>
            <c:ext xmlns:c16="http://schemas.microsoft.com/office/drawing/2014/chart" uri="{C3380CC4-5D6E-409C-BE32-E72D297353CC}">
              <c16:uniqueId val="{00000001-14B2-4CF7-B799-2A0894B3879C}"/>
            </c:ext>
          </c:extLst>
        </c:ser>
        <c:ser>
          <c:idx val="2"/>
          <c:order val="2"/>
          <c:tx>
            <c:strRef>
              <c:f>'NSWOS demersal seiners'!$K$141</c:f>
              <c:strCache>
                <c:ptCount val="1"/>
                <c:pt idx="0">
                  <c:v>Operating profit</c:v>
                </c:pt>
              </c:strCache>
            </c:strRef>
          </c:tx>
          <c:spPr>
            <a:solidFill>
              <a:srgbClr val="51AA81"/>
            </a:solidFill>
          </c:spPr>
          <c:invertIfNegative val="0"/>
          <c:cat>
            <c:strRef>
              <c:f>'NSWOS demersal seiners'!$L$138:$N$138</c:f>
              <c:strCache>
                <c:ptCount val="3"/>
                <c:pt idx="0">
                  <c:v>Most
profitable
quartile</c:v>
                </c:pt>
                <c:pt idx="1">
                  <c:v>Middle
two quartiles</c:v>
                </c:pt>
                <c:pt idx="2">
                  <c:v>Least
profitable
quartile</c:v>
                </c:pt>
              </c:strCache>
            </c:strRef>
          </c:cat>
          <c:val>
            <c:numRef>
              <c:f>'NSWOS demersal seiners'!$L$141:$N$141</c:f>
              <c:numCache>
                <c:formatCode>#,##0</c:formatCode>
                <c:ptCount val="3"/>
                <c:pt idx="0">
                  <c:v>0</c:v>
                </c:pt>
                <c:pt idx="1">
                  <c:v>271.19981250000001</c:v>
                </c:pt>
                <c:pt idx="2">
                  <c:v>0</c:v>
                </c:pt>
              </c:numCache>
            </c:numRef>
          </c:val>
          <c:extLst>
            <c:ext xmlns:c16="http://schemas.microsoft.com/office/drawing/2014/chart" uri="{C3380CC4-5D6E-409C-BE32-E72D297353CC}">
              <c16:uniqueId val="{00000002-14B2-4CF7-B799-2A0894B3879C}"/>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'NSWOS demersal seiners'!$K$142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o300kW'!$A$48</c:f>
          <c:strCache>
            <c:ptCount val="1"/>
            <c:pt idx="0">
              <c:v>Landings per kW day at sea (kg)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2F99-402A-8CC6-2C9CAF29DEB1}"/>
              </c:ext>
            </c:extLst>
          </c:dPt>
          <c:dPt>
            <c:idx val="10"/>
            <c:bubble3D val="0"/>
            <c:spPr>
              <a:ln w="57150">
                <a:solidFill>
                  <a:srgbClr val="2273B9"/>
                </a:solidFill>
                <a:prstDash val="sysDot"/>
              </a:ln>
            </c:spPr>
            <c:extLst>
              <c:ext xmlns:c16="http://schemas.microsoft.com/office/drawing/2014/chart" uri="{C3380CC4-5D6E-409C-BE32-E72D297353CC}">
                <c16:uniqueId val="{00000003-2F99-402A-8CC6-2C9CAF29DEB1}"/>
              </c:ext>
            </c:extLst>
          </c:dPt>
          <c:cat>
            <c:numRef>
              <c:f>'NSWOS demersal u24m o300kW'!$D$2:$N$2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'NSWOS demersal u24m o300kW'!$D$21:$N$21</c:f>
              <c:numCache>
                <c:formatCode>#,##0.00</c:formatCode>
                <c:ptCount val="11"/>
                <c:pt idx="0">
                  <c:v>4.4370252703888431</c:v>
                </c:pt>
                <c:pt idx="1">
                  <c:v>4.611252551815026</c:v>
                </c:pt>
                <c:pt idx="2">
                  <c:v>5.1767431474741032</c:v>
                </c:pt>
                <c:pt idx="3">
                  <c:v>5.2355570425538271</c:v>
                </c:pt>
                <c:pt idx="4">
                  <c:v>4.5100956814444384</c:v>
                </c:pt>
                <c:pt idx="5">
                  <c:v>5.2149893381212475</c:v>
                </c:pt>
                <c:pt idx="6">
                  <c:v>5.6556177573875503</c:v>
                </c:pt>
                <c:pt idx="7">
                  <c:v>4.8257298778551494</c:v>
                </c:pt>
                <c:pt idx="8">
                  <c:v>5.354503945071337</c:v>
                </c:pt>
                <c:pt idx="9">
                  <c:v>4.7199501483194943</c:v>
                </c:pt>
                <c:pt idx="10">
                  <c:v>4.5892615713720231</c:v>
                </c:pt>
              </c:numCache>
            </c:numRef>
          </c:val>
          <c:smooth val="0"/>
          <c:extLst>
            <c:ext xmlns:c16="http://schemas.microsoft.com/office/drawing/2014/chart" uri="{C3380CC4-5D6E-409C-BE32-E72D297353CC}">
              <c16:uniqueId val="{00000004-2F99-402A-8CC6-2C9CAF29DEB1}"/>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o300kW'!$A$49</c:f>
          <c:strCache>
            <c:ptCount val="1"/>
            <c:pt idx="0">
              <c:v>Fishing income per kW day at sea (£)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F0D1-431E-9FE4-320684EC50AD}"/>
              </c:ext>
            </c:extLst>
          </c:dPt>
          <c:dPt>
            <c:idx val="10"/>
            <c:bubble3D val="0"/>
            <c:spPr>
              <a:ln w="57150">
                <a:solidFill>
                  <a:srgbClr val="648C2E"/>
                </a:solidFill>
                <a:prstDash val="sysDot"/>
              </a:ln>
            </c:spPr>
            <c:extLst>
              <c:ext xmlns:c16="http://schemas.microsoft.com/office/drawing/2014/chart" uri="{C3380CC4-5D6E-409C-BE32-E72D297353CC}">
                <c16:uniqueId val="{00000003-F0D1-431E-9FE4-320684EC50AD}"/>
              </c:ext>
            </c:extLst>
          </c:dPt>
          <c:cat>
            <c:numRef>
              <c:f>'NSWOS demersal u24m o300kW'!$D$2:$N$2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'NSWOS demersal u24m o300kW'!$D$22:$N$22</c:f>
              <c:numCache>
                <c:formatCode>#,##0.00</c:formatCode>
                <c:ptCount val="11"/>
                <c:pt idx="0">
                  <c:v>11.4160175251324</c:v>
                </c:pt>
                <c:pt idx="1">
                  <c:v>10.148849087031</c:v>
                </c:pt>
                <c:pt idx="2">
                  <c:v>9.7801997300880696</c:v>
                </c:pt>
                <c:pt idx="3">
                  <c:v>11.1683273753055</c:v>
                </c:pt>
                <c:pt idx="4">
                  <c:v>9.2159855695677297</c:v>
                </c:pt>
                <c:pt idx="5">
                  <c:v>12.1101719339664</c:v>
                </c:pt>
                <c:pt idx="6">
                  <c:v>14.025334882674599</c:v>
                </c:pt>
                <c:pt idx="7">
                  <c:v>11.564973312252301</c:v>
                </c:pt>
                <c:pt idx="8">
                  <c:v>13.802209385506499</c:v>
                </c:pt>
                <c:pt idx="9">
                  <c:v>9.6504691421316409</c:v>
                </c:pt>
                <c:pt idx="10">
                  <c:v>10.381602346106069</c:v>
                </c:pt>
              </c:numCache>
            </c:numRef>
          </c:val>
          <c:smooth val="0"/>
          <c:extLst>
            <c:ext xmlns:c16="http://schemas.microsoft.com/office/drawing/2014/chart" uri="{C3380CC4-5D6E-409C-BE32-E72D297353CC}">
              <c16:uniqueId val="{00000004-F0D1-431E-9FE4-320684EC50AD}"/>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o300kW'!$B$62</c:f>
          <c:strCache>
            <c:ptCount val="1"/>
            <c:pt idx="0">
              <c:v>Total cost per kW day at sea (£)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129D-424B-BA7B-8D99343DD483}"/>
              </c:ext>
            </c:extLst>
          </c:dPt>
          <c:dPt>
            <c:idx val="10"/>
            <c:bubble3D val="0"/>
            <c:spPr>
              <a:ln w="57150">
                <a:solidFill>
                  <a:srgbClr val="087CBB"/>
                </a:solidFill>
                <a:prstDash val="sysDot"/>
              </a:ln>
            </c:spPr>
            <c:extLst>
              <c:ext xmlns:c16="http://schemas.microsoft.com/office/drawing/2014/chart" uri="{C3380CC4-5D6E-409C-BE32-E72D297353CC}">
                <c16:uniqueId val="{00000003-129D-424B-BA7B-8D99343DD483}"/>
              </c:ext>
            </c:extLst>
          </c:dPt>
          <c:cat>
            <c:numRef>
              <c:f>'NSWOS demersal u24m o300kW'!$D$2:$N$2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'NSWOS demersal u24m o300kW'!$D$23:$N$23</c:f>
              <c:numCache>
                <c:formatCode>#,##0.00</c:formatCode>
                <c:ptCount val="11"/>
                <c:pt idx="0">
                  <c:v>10.6737856887093</c:v>
                </c:pt>
                <c:pt idx="1">
                  <c:v>10.626729728442999</c:v>
                </c:pt>
                <c:pt idx="2">
                  <c:v>9.6941441198562206</c:v>
                </c:pt>
                <c:pt idx="3">
                  <c:v>9.9828640764690402</c:v>
                </c:pt>
                <c:pt idx="4">
                  <c:v>8.4491111955257896</c:v>
                </c:pt>
                <c:pt idx="5">
                  <c:v>10.515220471161999</c:v>
                </c:pt>
                <c:pt idx="6">
                  <c:v>11.739286190182099</c:v>
                </c:pt>
                <c:pt idx="7">
                  <c:v>10.1725935784591</c:v>
                </c:pt>
                <c:pt idx="8">
                  <c:v>11.099368597541501</c:v>
                </c:pt>
                <c:pt idx="9">
                  <c:v>8.83092430271304</c:v>
                </c:pt>
                <c:pt idx="10">
                  <c:v>9.3765683742295334</c:v>
                </c:pt>
              </c:numCache>
            </c:numRef>
          </c:val>
          <c:smooth val="0"/>
          <c:extLst>
            <c:ext xmlns:c16="http://schemas.microsoft.com/office/drawing/2014/chart" uri="{C3380CC4-5D6E-409C-BE32-E72D297353CC}">
              <c16:uniqueId val="{00000004-129D-424B-BA7B-8D99343DD483}"/>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o300kW'!$K$48</c:f>
          <c:strCache>
            <c:ptCount val="1"/>
            <c:pt idx="0">
              <c:v>Operating profit per kW day at sea (£)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D32F-4DBF-A6E9-B123ACF9EFC8}"/>
              </c:ext>
            </c:extLst>
          </c:dPt>
          <c:dPt>
            <c:idx val="10"/>
            <c:bubble3D val="0"/>
            <c:spPr>
              <a:ln w="57150">
                <a:solidFill>
                  <a:schemeClr val="accent3"/>
                </a:solidFill>
                <a:prstDash val="sysDot"/>
              </a:ln>
            </c:spPr>
            <c:extLst>
              <c:ext xmlns:c16="http://schemas.microsoft.com/office/drawing/2014/chart" uri="{C3380CC4-5D6E-409C-BE32-E72D297353CC}">
                <c16:uniqueId val="{00000003-D32F-4DBF-A6E9-B123ACF9EFC8}"/>
              </c:ext>
            </c:extLst>
          </c:dPt>
          <c:cat>
            <c:numRef>
              <c:f>'NSWOS demersal u24m o300kW'!$D$2:$N$2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'NSWOS demersal u24m o300kW'!$D$24:$N$24</c:f>
              <c:numCache>
                <c:formatCode>#,##0.00</c:formatCode>
                <c:ptCount val="11"/>
                <c:pt idx="0">
                  <c:v>1.6144687271984099</c:v>
                </c:pt>
                <c:pt idx="1">
                  <c:v>1.04620826153104</c:v>
                </c:pt>
                <c:pt idx="2">
                  <c:v>1.77388229777887</c:v>
                </c:pt>
                <c:pt idx="3">
                  <c:v>1.8816680305210201</c:v>
                </c:pt>
                <c:pt idx="4">
                  <c:v>1.19070264771864</c:v>
                </c:pt>
                <c:pt idx="5">
                  <c:v>2.2821333994257298</c:v>
                </c:pt>
                <c:pt idx="6">
                  <c:v>4.3898196956432702</c:v>
                </c:pt>
                <c:pt idx="7">
                  <c:v>1.89338118726331</c:v>
                </c:pt>
                <c:pt idx="8">
                  <c:v>3.2637198085065799</c:v>
                </c:pt>
                <c:pt idx="9">
                  <c:v>1.60062650412957</c:v>
                </c:pt>
                <c:pt idx="10">
                  <c:v>1.7496329434516085</c:v>
                </c:pt>
              </c:numCache>
            </c:numRef>
          </c:val>
          <c:smooth val="0"/>
          <c:extLst>
            <c:ext xmlns:c16="http://schemas.microsoft.com/office/drawing/2014/chart" uri="{C3380CC4-5D6E-409C-BE32-E72D297353CC}">
              <c16:uniqueId val="{00000004-D32F-4DBF-A6E9-B123ACF9EFC8}"/>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o300kW'!$A$50</c:f>
          <c:strCache>
            <c:ptCount val="1"/>
            <c:pt idx="0">
              <c:v>Average price per tonne landed (£)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D354-499E-943C-0E5381135519}"/>
              </c:ext>
            </c:extLst>
          </c:dPt>
          <c:dPt>
            <c:idx val="10"/>
            <c:bubble3D val="0"/>
            <c:spPr>
              <a:ln w="57150">
                <a:solidFill>
                  <a:schemeClr val="accent4"/>
                </a:solidFill>
                <a:prstDash val="sysDot"/>
              </a:ln>
            </c:spPr>
            <c:extLst>
              <c:ext xmlns:c16="http://schemas.microsoft.com/office/drawing/2014/chart" uri="{C3380CC4-5D6E-409C-BE32-E72D297353CC}">
                <c16:uniqueId val="{00000003-D354-499E-943C-0E5381135519}"/>
              </c:ext>
            </c:extLst>
          </c:dPt>
          <c:cat>
            <c:numRef>
              <c:f>'NSWOS demersal u24m o300kW'!$D$2:$M$2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o300kW'!$D$20:$N$20</c:f>
              <c:numCache>
                <c:formatCode>#,##0</c:formatCode>
                <c:ptCount val="11"/>
                <c:pt idx="0">
                  <c:v>2573</c:v>
                </c:pt>
                <c:pt idx="1">
                  <c:v>2201</c:v>
                </c:pt>
                <c:pt idx="2">
                  <c:v>1889</c:v>
                </c:pt>
                <c:pt idx="3">
                  <c:v>2133</c:v>
                </c:pt>
                <c:pt idx="4">
                  <c:v>2043</c:v>
                </c:pt>
                <c:pt idx="5">
                  <c:v>2322</c:v>
                </c:pt>
                <c:pt idx="6">
                  <c:v>2480</c:v>
                </c:pt>
                <c:pt idx="7">
                  <c:v>2397</c:v>
                </c:pt>
                <c:pt idx="8">
                  <c:v>2578</c:v>
                </c:pt>
                <c:pt idx="9">
                  <c:v>2045</c:v>
                </c:pt>
                <c:pt idx="10">
                  <c:v>2262</c:v>
                </c:pt>
              </c:numCache>
            </c:numRef>
          </c:val>
          <c:smooth val="0"/>
          <c:extLst>
            <c:ext xmlns:c16="http://schemas.microsoft.com/office/drawing/2014/chart" uri="{C3380CC4-5D6E-409C-BE32-E72D297353CC}">
              <c16:uniqueId val="{00000004-D354-499E-943C-0E5381135519}"/>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o300kW'!$K$62</c:f>
          <c:strCache>
            <c:ptCount val="1"/>
            <c:pt idx="0">
              <c:v>Average annual operating profit per vessel (£'000)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E151-4C3F-8741-B0C09E7AE6DC}"/>
              </c:ext>
            </c:extLst>
          </c:dPt>
          <c:dPt>
            <c:idx val="10"/>
            <c:bubble3D val="0"/>
            <c:spPr>
              <a:ln w="57150">
                <a:solidFill>
                  <a:schemeClr val="accent5"/>
                </a:solidFill>
                <a:prstDash val="sysDot"/>
              </a:ln>
            </c:spPr>
            <c:extLst>
              <c:ext xmlns:c16="http://schemas.microsoft.com/office/drawing/2014/chart" uri="{C3380CC4-5D6E-409C-BE32-E72D297353CC}">
                <c16:uniqueId val="{00000003-E151-4C3F-8741-B0C09E7AE6DC}"/>
              </c:ext>
            </c:extLst>
          </c:dPt>
          <c:cat>
            <c:numRef>
              <c:f>'NSWOS demersal u24m o300kW'!$D$2:$M$2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o300kW'!$D$37:$N$37</c:f>
              <c:numCache>
                <c:formatCode>#,##0.0</c:formatCode>
                <c:ptCount val="11"/>
                <c:pt idx="0">
                  <c:v>119.5</c:v>
                </c:pt>
                <c:pt idx="1">
                  <c:v>74.3</c:v>
                </c:pt>
                <c:pt idx="2">
                  <c:v>140.30000000000001</c:v>
                </c:pt>
                <c:pt idx="3">
                  <c:v>149.80000000000001</c:v>
                </c:pt>
                <c:pt idx="4">
                  <c:v>99.7</c:v>
                </c:pt>
                <c:pt idx="5">
                  <c:v>201</c:v>
                </c:pt>
                <c:pt idx="6">
                  <c:v>383</c:v>
                </c:pt>
                <c:pt idx="7">
                  <c:v>181.3</c:v>
                </c:pt>
                <c:pt idx="8">
                  <c:v>336.3</c:v>
                </c:pt>
                <c:pt idx="9">
                  <c:v>139.30000000000001</c:v>
                </c:pt>
                <c:pt idx="10">
                  <c:v>182.5</c:v>
                </c:pt>
              </c:numCache>
            </c:numRef>
          </c:val>
          <c:smooth val="0"/>
          <c:extLst>
            <c:ext xmlns:c16="http://schemas.microsoft.com/office/drawing/2014/chart" uri="{C3380CC4-5D6E-409C-BE32-E72D297353CC}">
              <c16:uniqueId val="{00000004-E151-4C3F-8741-B0C09E7AE6DC}"/>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o300kW'!$A$76</c:f>
          <c:strCache>
            <c:ptCount val="1"/>
            <c:pt idx="0">
              <c:v>Top 5 landed species by volume in 2020
NSWOS demersal under 24m over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B7FB-40D6-B4A6-DD4D2359A9DC}"/>
              </c:ext>
            </c:extLst>
          </c:dPt>
          <c:dPt>
            <c:idx val="1"/>
            <c:bubble3D val="0"/>
            <c:spPr>
              <a:solidFill>
                <a:srgbClr val="E84A38"/>
              </a:solidFill>
              <a:ln>
                <a:solidFill>
                  <a:srgbClr val="FFFFFF"/>
                </a:solidFill>
              </a:ln>
            </c:spPr>
            <c:extLst>
              <c:ext xmlns:c16="http://schemas.microsoft.com/office/drawing/2014/chart" uri="{C3380CC4-5D6E-409C-BE32-E72D297353CC}">
                <c16:uniqueId val="{00000003-B7FB-40D6-B4A6-DD4D2359A9DC}"/>
              </c:ext>
            </c:extLst>
          </c:dPt>
          <c:dPt>
            <c:idx val="2"/>
            <c:bubble3D val="0"/>
            <c:spPr>
              <a:solidFill>
                <a:srgbClr val="0F9AA9"/>
              </a:solidFill>
              <a:ln>
                <a:solidFill>
                  <a:srgbClr val="FFFFFF"/>
                </a:solidFill>
              </a:ln>
            </c:spPr>
            <c:extLst>
              <c:ext xmlns:c16="http://schemas.microsoft.com/office/drawing/2014/chart" uri="{C3380CC4-5D6E-409C-BE32-E72D297353CC}">
                <c16:uniqueId val="{00000005-B7FB-40D6-B4A6-DD4D2359A9DC}"/>
              </c:ext>
            </c:extLst>
          </c:dPt>
          <c:dPt>
            <c:idx val="3"/>
            <c:bubble3D val="0"/>
            <c:spPr>
              <a:solidFill>
                <a:srgbClr val="E87308"/>
              </a:solidFill>
              <a:ln>
                <a:solidFill>
                  <a:srgbClr val="FFFFFF"/>
                </a:solidFill>
              </a:ln>
            </c:spPr>
            <c:extLst>
              <c:ext xmlns:c16="http://schemas.microsoft.com/office/drawing/2014/chart" uri="{C3380CC4-5D6E-409C-BE32-E72D297353CC}">
                <c16:uniqueId val="{00000007-B7FB-40D6-B4A6-DD4D2359A9DC}"/>
              </c:ext>
            </c:extLst>
          </c:dPt>
          <c:dPt>
            <c:idx val="4"/>
            <c:bubble3D val="0"/>
            <c:spPr>
              <a:solidFill>
                <a:srgbClr val="648C2E"/>
              </a:solidFill>
              <a:ln>
                <a:solidFill>
                  <a:srgbClr val="FFFFFF"/>
                </a:solidFill>
              </a:ln>
            </c:spPr>
            <c:extLst>
              <c:ext xmlns:c16="http://schemas.microsoft.com/office/drawing/2014/chart" uri="{C3380CC4-5D6E-409C-BE32-E72D297353CC}">
                <c16:uniqueId val="{00000009-B7FB-40D6-B4A6-DD4D2359A9DC}"/>
              </c:ext>
            </c:extLst>
          </c:dPt>
          <c:dPt>
            <c:idx val="5"/>
            <c:bubble3D val="0"/>
            <c:spPr>
              <a:solidFill>
                <a:srgbClr val="55585A"/>
              </a:solidFill>
              <a:ln>
                <a:solidFill>
                  <a:srgbClr val="FFFFFF"/>
                </a:solidFill>
              </a:ln>
            </c:spPr>
            <c:extLst>
              <c:ext xmlns:c16="http://schemas.microsoft.com/office/drawing/2014/chart" uri="{C3380CC4-5D6E-409C-BE32-E72D297353CC}">
                <c16:uniqueId val="{0000000B-B7FB-40D6-B4A6-DD4D2359A9DC}"/>
              </c:ext>
            </c:extLst>
          </c:dPt>
          <c:cat>
            <c:strRef>
              <c:f>'NSWOS demersal u24m o300kW'!$B$77:$B$82</c:f>
              <c:strCache>
                <c:ptCount val="6"/>
                <c:pt idx="0">
                  <c:v>Anglerfish - 21.2%</c:v>
                </c:pt>
                <c:pt idx="1">
                  <c:v>Haddock - 17.0%</c:v>
                </c:pt>
                <c:pt idx="2">
                  <c:v>Whiting - 11.2%</c:v>
                </c:pt>
                <c:pt idx="3">
                  <c:v>Cod - 10.2%</c:v>
                </c:pt>
                <c:pt idx="4">
                  <c:v>Megrim - 8.3%</c:v>
                </c:pt>
                <c:pt idx="5">
                  <c:v>Others - 32.1%</c:v>
                </c:pt>
              </c:strCache>
            </c:strRef>
          </c:cat>
          <c:val>
            <c:numRef>
              <c:f>'NSWOS demersal u24m o300kW'!$C$77:$C$82</c:f>
              <c:numCache>
                <c:formatCode>0.0%</c:formatCode>
                <c:ptCount val="6"/>
                <c:pt idx="0">
                  <c:v>0.21237760554898133</c:v>
                </c:pt>
                <c:pt idx="1">
                  <c:v>0.17018130402730616</c:v>
                </c:pt>
                <c:pt idx="2">
                  <c:v>0.11228849535061095</c:v>
                </c:pt>
                <c:pt idx="3">
                  <c:v>0.1015419355784993</c:v>
                </c:pt>
                <c:pt idx="4">
                  <c:v>8.2596275189939811E-2</c:v>
                </c:pt>
                <c:pt idx="5">
                  <c:v>0.32101438430466245</c:v>
                </c:pt>
              </c:numCache>
            </c:numRef>
          </c:val>
          <c:extLst>
            <c:ext xmlns:c16="http://schemas.microsoft.com/office/drawing/2014/chart" uri="{C3380CC4-5D6E-409C-BE32-E72D297353CC}">
              <c16:uniqueId val="{0000000C-B7FB-40D6-B4A6-DD4D2359A9DC}"/>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trawl'!$A$49</c:f>
          <c:strCache>
            <c:ptCount val="1"/>
            <c:pt idx="0">
              <c:v>Fishing income per kW day at sea (£)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4064-41A7-A215-15C68EAFF4F6}"/>
              </c:ext>
            </c:extLst>
          </c:dPt>
          <c:dPt>
            <c:idx val="10"/>
            <c:bubble3D val="0"/>
            <c:spPr>
              <a:ln w="57150">
                <a:solidFill>
                  <a:srgbClr val="648C2E"/>
                </a:solidFill>
                <a:prstDash val="sysDot"/>
              </a:ln>
            </c:spPr>
            <c:extLst>
              <c:ext xmlns:c16="http://schemas.microsoft.com/office/drawing/2014/chart" uri="{C3380CC4-5D6E-409C-BE32-E72D297353CC}">
                <c16:uniqueId val="{00000003-4064-41A7-A215-15C68EAFF4F6}"/>
              </c:ext>
            </c:extLst>
          </c:dPt>
          <c:cat>
            <c:numRef>
              <c:f>'Area VIIa demersal trawl'!$D$2:$N$2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'Area VIIa demersal trawl'!$D$22:$N$22</c:f>
              <c:numCache>
                <c:formatCode>#,##0.00</c:formatCode>
                <c:ptCount val="11"/>
                <c:pt idx="0">
                  <c:v>5.6848261268637001</c:v>
                </c:pt>
                <c:pt idx="1">
                  <c:v>8.29680601352484</c:v>
                </c:pt>
                <c:pt idx="2">
                  <c:v>7.0078724967475798</c:v>
                </c:pt>
                <c:pt idx="3">
                  <c:v>7.8937151311447904</c:v>
                </c:pt>
                <c:pt idx="4">
                  <c:v>7.39499758517871</c:v>
                </c:pt>
                <c:pt idx="5">
                  <c:v>8.1977073106633291</c:v>
                </c:pt>
                <c:pt idx="6">
                  <c:v>7.6757851254658203</c:v>
                </c:pt>
                <c:pt idx="7">
                  <c:v>7.5888063390877898</c:v>
                </c:pt>
                <c:pt idx="8">
                  <c:v>7.2847068458929396</c:v>
                </c:pt>
                <c:pt idx="9">
                  <c:v>4.2544979158695799</c:v>
                </c:pt>
                <c:pt idx="10">
                  <c:v>4.6987872322820294</c:v>
                </c:pt>
              </c:numCache>
            </c:numRef>
          </c:val>
          <c:smooth val="0"/>
          <c:extLst>
            <c:ext xmlns:c16="http://schemas.microsoft.com/office/drawing/2014/chart" uri="{C3380CC4-5D6E-409C-BE32-E72D297353CC}">
              <c16:uniqueId val="{00000004-4064-41A7-A215-15C68EAFF4F6}"/>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o250kW'!$F$76</c:f>
          <c:strCache>
            <c:ptCount val="1"/>
            <c:pt idx="0">
              <c:v>Top 5 landed species by value in 2020
Area VIIA nephrops over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EFA9-48F5-AF6A-B1234BB57D09}"/>
              </c:ext>
            </c:extLst>
          </c:dPt>
          <c:dPt>
            <c:idx val="1"/>
            <c:bubble3D val="0"/>
            <c:spPr>
              <a:solidFill>
                <a:srgbClr val="E87308"/>
              </a:solidFill>
              <a:ln>
                <a:solidFill>
                  <a:srgbClr val="FFFFFF"/>
                </a:solidFill>
              </a:ln>
            </c:spPr>
            <c:extLst>
              <c:ext xmlns:c16="http://schemas.microsoft.com/office/drawing/2014/chart" uri="{C3380CC4-5D6E-409C-BE32-E72D297353CC}">
                <c16:uniqueId val="{00000003-EFA9-48F5-AF6A-B1234BB57D09}"/>
              </c:ext>
            </c:extLst>
          </c:dPt>
          <c:dPt>
            <c:idx val="2"/>
            <c:bubble3D val="0"/>
            <c:spPr>
              <a:solidFill>
                <a:srgbClr val="648C2E"/>
              </a:solidFill>
              <a:ln>
                <a:solidFill>
                  <a:srgbClr val="FFFFFF"/>
                </a:solidFill>
              </a:ln>
            </c:spPr>
            <c:extLst>
              <c:ext xmlns:c16="http://schemas.microsoft.com/office/drawing/2014/chart" uri="{C3380CC4-5D6E-409C-BE32-E72D297353CC}">
                <c16:uniqueId val="{00000005-EFA9-48F5-AF6A-B1234BB57D09}"/>
              </c:ext>
            </c:extLst>
          </c:dPt>
          <c:dPt>
            <c:idx val="3"/>
            <c:bubble3D val="0"/>
            <c:spPr>
              <a:solidFill>
                <a:srgbClr val="C1D119"/>
              </a:solidFill>
              <a:ln>
                <a:solidFill>
                  <a:srgbClr val="FFFFFF"/>
                </a:solidFill>
              </a:ln>
            </c:spPr>
            <c:extLst>
              <c:ext xmlns:c16="http://schemas.microsoft.com/office/drawing/2014/chart" uri="{C3380CC4-5D6E-409C-BE32-E72D297353CC}">
                <c16:uniqueId val="{00000007-EFA9-48F5-AF6A-B1234BB57D09}"/>
              </c:ext>
            </c:extLst>
          </c:dPt>
          <c:dPt>
            <c:idx val="4"/>
            <c:bubble3D val="0"/>
            <c:spPr>
              <a:solidFill>
                <a:srgbClr val="E84A38"/>
              </a:solidFill>
              <a:ln>
                <a:solidFill>
                  <a:srgbClr val="FFFFFF"/>
                </a:solidFill>
              </a:ln>
            </c:spPr>
            <c:extLst>
              <c:ext xmlns:c16="http://schemas.microsoft.com/office/drawing/2014/chart" uri="{C3380CC4-5D6E-409C-BE32-E72D297353CC}">
                <c16:uniqueId val="{00000009-EFA9-48F5-AF6A-B1234BB57D09}"/>
              </c:ext>
            </c:extLst>
          </c:dPt>
          <c:dPt>
            <c:idx val="5"/>
            <c:bubble3D val="0"/>
            <c:spPr>
              <a:solidFill>
                <a:srgbClr val="55585A"/>
              </a:solidFill>
              <a:ln>
                <a:solidFill>
                  <a:srgbClr val="FFFFFF"/>
                </a:solidFill>
              </a:ln>
            </c:spPr>
            <c:extLst>
              <c:ext xmlns:c16="http://schemas.microsoft.com/office/drawing/2014/chart" uri="{C3380CC4-5D6E-409C-BE32-E72D297353CC}">
                <c16:uniqueId val="{0000000B-EFA9-48F5-AF6A-B1234BB57D09}"/>
              </c:ext>
            </c:extLst>
          </c:dPt>
          <c:cat>
            <c:strRef>
              <c:f>'Area VIIa nephrops o250kW'!$G$77:$G$82</c:f>
              <c:strCache>
                <c:ptCount val="6"/>
                <c:pt idx="0">
                  <c:v>Nephrops - 92.3%</c:v>
                </c:pt>
                <c:pt idx="1">
                  <c:v>Anglerfish - 2.2%</c:v>
                </c:pt>
                <c:pt idx="2">
                  <c:v>Les. Spot. Dog - 1.3%</c:v>
                </c:pt>
                <c:pt idx="3">
                  <c:v>Haddock - 1.1%</c:v>
                </c:pt>
                <c:pt idx="4">
                  <c:v>Cod - 0.8%</c:v>
                </c:pt>
                <c:pt idx="5">
                  <c:v>Others - 2.3%</c:v>
                </c:pt>
              </c:strCache>
            </c:strRef>
          </c:cat>
          <c:val>
            <c:numRef>
              <c:f>'Area VIIa nephrops o250kW'!$H$77:$H$82</c:f>
              <c:numCache>
                <c:formatCode>0.0%</c:formatCode>
                <c:ptCount val="6"/>
                <c:pt idx="0">
                  <c:v>0.92341228690734312</c:v>
                </c:pt>
                <c:pt idx="1">
                  <c:v>2.21296387436297E-2</c:v>
                </c:pt>
                <c:pt idx="2">
                  <c:v>1.3112109127127163E-2</c:v>
                </c:pt>
                <c:pt idx="3">
                  <c:v>1.0641962547819343E-2</c:v>
                </c:pt>
                <c:pt idx="4">
                  <c:v>7.8608478907203731E-3</c:v>
                </c:pt>
                <c:pt idx="5">
                  <c:v>2.2843154783360298E-2</c:v>
                </c:pt>
              </c:numCache>
            </c:numRef>
          </c:val>
          <c:extLst>
            <c:ext xmlns:c16="http://schemas.microsoft.com/office/drawing/2014/chart" uri="{C3380CC4-5D6E-409C-BE32-E72D297353CC}">
              <c16:uniqueId val="{0000000C-EFA9-48F5-AF6A-B1234BB57D09}"/>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o300kW'!$F$76</c:f>
          <c:strCache>
            <c:ptCount val="1"/>
            <c:pt idx="0">
              <c:v>Top 5 landed species by value in 2020
NSWOS demersal under 24m over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58A6-49F6-A31A-8FFAD7B7641E}"/>
              </c:ext>
            </c:extLst>
          </c:dPt>
          <c:dPt>
            <c:idx val="1"/>
            <c:bubble3D val="0"/>
            <c:spPr>
              <a:solidFill>
                <a:srgbClr val="E87308"/>
              </a:solidFill>
              <a:ln>
                <a:solidFill>
                  <a:srgbClr val="FFFFFF"/>
                </a:solidFill>
              </a:ln>
            </c:spPr>
            <c:extLst>
              <c:ext xmlns:c16="http://schemas.microsoft.com/office/drawing/2014/chart" uri="{C3380CC4-5D6E-409C-BE32-E72D297353CC}">
                <c16:uniqueId val="{00000003-58A6-49F6-A31A-8FFAD7B7641E}"/>
              </c:ext>
            </c:extLst>
          </c:dPt>
          <c:dPt>
            <c:idx val="2"/>
            <c:bubble3D val="0"/>
            <c:spPr>
              <a:solidFill>
                <a:srgbClr val="648C2E"/>
              </a:solidFill>
              <a:ln>
                <a:solidFill>
                  <a:srgbClr val="FFFFFF"/>
                </a:solidFill>
              </a:ln>
            </c:spPr>
            <c:extLst>
              <c:ext xmlns:c16="http://schemas.microsoft.com/office/drawing/2014/chart" uri="{C3380CC4-5D6E-409C-BE32-E72D297353CC}">
                <c16:uniqueId val="{00000005-58A6-49F6-A31A-8FFAD7B7641E}"/>
              </c:ext>
            </c:extLst>
          </c:dPt>
          <c:dPt>
            <c:idx val="3"/>
            <c:bubble3D val="0"/>
            <c:spPr>
              <a:solidFill>
                <a:srgbClr val="C1D119"/>
              </a:solidFill>
              <a:ln>
                <a:solidFill>
                  <a:srgbClr val="FFFFFF"/>
                </a:solidFill>
              </a:ln>
            </c:spPr>
            <c:extLst>
              <c:ext xmlns:c16="http://schemas.microsoft.com/office/drawing/2014/chart" uri="{C3380CC4-5D6E-409C-BE32-E72D297353CC}">
                <c16:uniqueId val="{00000007-58A6-49F6-A31A-8FFAD7B7641E}"/>
              </c:ext>
            </c:extLst>
          </c:dPt>
          <c:dPt>
            <c:idx val="4"/>
            <c:bubble3D val="0"/>
            <c:spPr>
              <a:solidFill>
                <a:srgbClr val="E84A38"/>
              </a:solidFill>
              <a:ln>
                <a:solidFill>
                  <a:srgbClr val="FFFFFF"/>
                </a:solidFill>
              </a:ln>
            </c:spPr>
            <c:extLst>
              <c:ext xmlns:c16="http://schemas.microsoft.com/office/drawing/2014/chart" uri="{C3380CC4-5D6E-409C-BE32-E72D297353CC}">
                <c16:uniqueId val="{00000009-58A6-49F6-A31A-8FFAD7B7641E}"/>
              </c:ext>
            </c:extLst>
          </c:dPt>
          <c:dPt>
            <c:idx val="5"/>
            <c:bubble3D val="0"/>
            <c:spPr>
              <a:solidFill>
                <a:srgbClr val="55585A"/>
              </a:solidFill>
              <a:ln>
                <a:solidFill>
                  <a:srgbClr val="FFFFFF"/>
                </a:solidFill>
              </a:ln>
            </c:spPr>
            <c:extLst>
              <c:ext xmlns:c16="http://schemas.microsoft.com/office/drawing/2014/chart" uri="{C3380CC4-5D6E-409C-BE32-E72D297353CC}">
                <c16:uniqueId val="{0000000B-58A6-49F6-A31A-8FFAD7B7641E}"/>
              </c:ext>
            </c:extLst>
          </c:dPt>
          <c:cat>
            <c:strRef>
              <c:f>'NSWOS demersal u24m o300kW'!$G$77:$G$82</c:f>
              <c:strCache>
                <c:ptCount val="6"/>
                <c:pt idx="0">
                  <c:v>Anglerfish - 28.5%</c:v>
                </c:pt>
                <c:pt idx="1">
                  <c:v>Cod - 14.1%</c:v>
                </c:pt>
                <c:pt idx="2">
                  <c:v>Megrim - 13.3%</c:v>
                </c:pt>
                <c:pt idx="3">
                  <c:v>Nephrops - 10.3%</c:v>
                </c:pt>
                <c:pt idx="4">
                  <c:v>Haddock - 10.1%</c:v>
                </c:pt>
                <c:pt idx="5">
                  <c:v>Others - 23.7%</c:v>
                </c:pt>
              </c:strCache>
            </c:strRef>
          </c:cat>
          <c:val>
            <c:numRef>
              <c:f>'NSWOS demersal u24m o300kW'!$H$77:$H$82</c:f>
              <c:numCache>
                <c:formatCode>0.0%</c:formatCode>
                <c:ptCount val="6"/>
                <c:pt idx="0">
                  <c:v>0.28531674474796437</c:v>
                </c:pt>
                <c:pt idx="1">
                  <c:v>0.14071127013819842</c:v>
                </c:pt>
                <c:pt idx="2">
                  <c:v>0.13323260698703052</c:v>
                </c:pt>
                <c:pt idx="3">
                  <c:v>0.10286747976910593</c:v>
                </c:pt>
                <c:pt idx="4">
                  <c:v>0.10063850581152206</c:v>
                </c:pt>
                <c:pt idx="5">
                  <c:v>0.2372333925461787</c:v>
                </c:pt>
              </c:numCache>
            </c:numRef>
          </c:val>
          <c:extLst>
            <c:ext xmlns:c16="http://schemas.microsoft.com/office/drawing/2014/chart" uri="{C3380CC4-5D6E-409C-BE32-E72D297353CC}">
              <c16:uniqueId val="{0000000C-58A6-49F6-A31A-8FFAD7B7641E}"/>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o300kW'!$K$77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demersal u24m o300kW'!$C$92</c:f>
              <c:strCache>
                <c:ptCount val="1"/>
                <c:pt idx="0">
                  <c:v>Anglerfish</c:v>
                </c:pt>
              </c:strCache>
            </c:strRef>
          </c:tx>
          <c:spPr>
            <a:solidFill>
              <a:srgbClr val="2273B9"/>
            </a:solidFill>
            <a:ln>
              <a:solidFill>
                <a:srgbClr val="FFFFFF"/>
              </a:solidFill>
            </a:ln>
          </c:spPr>
          <c:invertIfNegative val="0"/>
          <c:cat>
            <c:numRef>
              <c:f>'NSWOS demersal u24m o300kW'!$D$91:$M$91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o300kW'!$D$92:$M$92</c:f>
              <c:numCache>
                <c:formatCode>0%</c:formatCode>
                <c:ptCount val="10"/>
                <c:pt idx="0">
                  <c:v>0.22342946283437493</c:v>
                </c:pt>
                <c:pt idx="1">
                  <c:v>0.20586088664087801</c:v>
                </c:pt>
                <c:pt idx="2">
                  <c:v>0.20885299978592098</c:v>
                </c:pt>
                <c:pt idx="3">
                  <c:v>0.25508867845839367</c:v>
                </c:pt>
                <c:pt idx="4">
                  <c:v>0.29532353105989179</c:v>
                </c:pt>
                <c:pt idx="5">
                  <c:v>0.28356364999439376</c:v>
                </c:pt>
                <c:pt idx="6">
                  <c:v>0.27400465491906034</c:v>
                </c:pt>
                <c:pt idx="7">
                  <c:v>0.25441751949445529</c:v>
                </c:pt>
                <c:pt idx="8">
                  <c:v>0.28531674474796437</c:v>
                </c:pt>
                <c:pt idx="9">
                  <c:v>0.32904221994584265</c:v>
                </c:pt>
              </c:numCache>
            </c:numRef>
          </c:val>
          <c:extLst>
            <c:ext xmlns:c16="http://schemas.microsoft.com/office/drawing/2014/chart" uri="{C3380CC4-5D6E-409C-BE32-E72D297353CC}">
              <c16:uniqueId val="{00000000-56B3-4A82-B96B-E6C379E35304}"/>
            </c:ext>
          </c:extLst>
        </c:ser>
        <c:ser>
          <c:idx val="1"/>
          <c:order val="1"/>
          <c:tx>
            <c:strRef>
              <c:f>'NSWOS demersal u24m o300kW'!$C$93</c:f>
              <c:strCache>
                <c:ptCount val="1"/>
                <c:pt idx="0">
                  <c:v>Cod</c:v>
                </c:pt>
              </c:strCache>
            </c:strRef>
          </c:tx>
          <c:spPr>
            <a:solidFill>
              <a:srgbClr val="E87308"/>
            </a:solidFill>
            <a:ln>
              <a:solidFill>
                <a:srgbClr val="FFFFFF"/>
              </a:solidFill>
            </a:ln>
          </c:spPr>
          <c:invertIfNegative val="0"/>
          <c:cat>
            <c:numRef>
              <c:f>'NSWOS demersal u24m o300kW'!$D$91:$M$91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o300kW'!$D$93:$M$93</c:f>
              <c:numCache>
                <c:formatCode>0%</c:formatCode>
                <c:ptCount val="10"/>
                <c:pt idx="0">
                  <c:v>0.14886688922781699</c:v>
                </c:pt>
                <c:pt idx="1">
                  <c:v>0.1392130912196477</c:v>
                </c:pt>
                <c:pt idx="2">
                  <c:v>0.15020085804199765</c:v>
                </c:pt>
                <c:pt idx="3">
                  <c:v>0.14744146143074563</c:v>
                </c:pt>
                <c:pt idx="4">
                  <c:v>0.15335816214068138</c:v>
                </c:pt>
                <c:pt idx="5">
                  <c:v>0.16635584973178852</c:v>
                </c:pt>
                <c:pt idx="6">
                  <c:v>0.16794401591349684</c:v>
                </c:pt>
                <c:pt idx="7">
                  <c:v>0.21812396051993727</c:v>
                </c:pt>
                <c:pt idx="8">
                  <c:v>0.14071127013819842</c:v>
                </c:pt>
                <c:pt idx="9">
                  <c:v>0.12848032862311887</c:v>
                </c:pt>
              </c:numCache>
            </c:numRef>
          </c:val>
          <c:extLst>
            <c:ext xmlns:c16="http://schemas.microsoft.com/office/drawing/2014/chart" uri="{C3380CC4-5D6E-409C-BE32-E72D297353CC}">
              <c16:uniqueId val="{00000001-56B3-4A82-B96B-E6C379E35304}"/>
            </c:ext>
          </c:extLst>
        </c:ser>
        <c:ser>
          <c:idx val="2"/>
          <c:order val="2"/>
          <c:tx>
            <c:strRef>
              <c:f>'NSWOS demersal u24m o300kW'!$C$94</c:f>
              <c:strCache>
                <c:ptCount val="1"/>
                <c:pt idx="0">
                  <c:v>Megrim</c:v>
                </c:pt>
              </c:strCache>
            </c:strRef>
          </c:tx>
          <c:spPr>
            <a:solidFill>
              <a:srgbClr val="648C2E"/>
            </a:solidFill>
            <a:ln>
              <a:solidFill>
                <a:srgbClr val="FFFFFF"/>
              </a:solidFill>
            </a:ln>
          </c:spPr>
          <c:invertIfNegative val="0"/>
          <c:cat>
            <c:numRef>
              <c:f>'NSWOS demersal u24m o300kW'!$D$91:$M$91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o300kW'!$D$94:$M$94</c:f>
              <c:numCache>
                <c:formatCode>0%</c:formatCode>
                <c:ptCount val="10"/>
                <c:pt idx="0">
                  <c:v>0.11949410818006052</c:v>
                </c:pt>
                <c:pt idx="1">
                  <c:v>9.2661210214459305E-2</c:v>
                </c:pt>
                <c:pt idx="2">
                  <c:v>7.7703531947885845E-2</c:v>
                </c:pt>
                <c:pt idx="3">
                  <c:v>5.6568036055150386E-2</c:v>
                </c:pt>
                <c:pt idx="5">
                  <c:v>6.0540763078732449E-2</c:v>
                </c:pt>
                <c:pt idx="6">
                  <c:v>6.3180935807107375E-2</c:v>
                </c:pt>
                <c:pt idx="7">
                  <c:v>8.8788185714813408E-2</c:v>
                </c:pt>
                <c:pt idx="8">
                  <c:v>0.13323260698703052</c:v>
                </c:pt>
                <c:pt idx="9">
                  <c:v>0.14077952874805871</c:v>
                </c:pt>
              </c:numCache>
            </c:numRef>
          </c:val>
          <c:extLst>
            <c:ext xmlns:c16="http://schemas.microsoft.com/office/drawing/2014/chart" uri="{C3380CC4-5D6E-409C-BE32-E72D297353CC}">
              <c16:uniqueId val="{00000002-56B3-4A82-B96B-E6C379E35304}"/>
            </c:ext>
          </c:extLst>
        </c:ser>
        <c:ser>
          <c:idx val="3"/>
          <c:order val="3"/>
          <c:tx>
            <c:strRef>
              <c:f>'NSWOS demersal u24m o300kW'!$C$95</c:f>
              <c:strCache>
                <c:ptCount val="1"/>
                <c:pt idx="0">
                  <c:v>Nephrops</c:v>
                </c:pt>
              </c:strCache>
            </c:strRef>
          </c:tx>
          <c:spPr>
            <a:solidFill>
              <a:srgbClr val="C1D119"/>
            </a:solidFill>
            <a:ln>
              <a:solidFill>
                <a:srgbClr val="FFFFFF"/>
              </a:solidFill>
            </a:ln>
          </c:spPr>
          <c:invertIfNegative val="0"/>
          <c:cat>
            <c:numRef>
              <c:f>'NSWOS demersal u24m o300kW'!$D$91:$M$91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o300kW'!$D$95:$M$95</c:f>
              <c:numCache>
                <c:formatCode>0%</c:formatCode>
                <c:ptCount val="10"/>
                <c:pt idx="0">
                  <c:v>0.12407887108021337</c:v>
                </c:pt>
                <c:pt idx="1">
                  <c:v>0.10786903147891962</c:v>
                </c:pt>
                <c:pt idx="2">
                  <c:v>0.12698797115171784</c:v>
                </c:pt>
                <c:pt idx="3">
                  <c:v>0.14539436123514304</c:v>
                </c:pt>
                <c:pt idx="4">
                  <c:v>0.10490004783077564</c:v>
                </c:pt>
                <c:pt idx="5">
                  <c:v>0.10955828760579243</c:v>
                </c:pt>
                <c:pt idx="6">
                  <c:v>0.15147339554078243</c:v>
                </c:pt>
                <c:pt idx="7">
                  <c:v>8.1327728710695851E-2</c:v>
                </c:pt>
                <c:pt idx="8">
                  <c:v>0.10286747976910593</c:v>
                </c:pt>
                <c:pt idx="9">
                  <c:v>0.10664638499646206</c:v>
                </c:pt>
              </c:numCache>
            </c:numRef>
          </c:val>
          <c:extLst>
            <c:ext xmlns:c16="http://schemas.microsoft.com/office/drawing/2014/chart" uri="{C3380CC4-5D6E-409C-BE32-E72D297353CC}">
              <c16:uniqueId val="{00000003-56B3-4A82-B96B-E6C379E35304}"/>
            </c:ext>
          </c:extLst>
        </c:ser>
        <c:ser>
          <c:idx val="4"/>
          <c:order val="4"/>
          <c:tx>
            <c:strRef>
              <c:f>'NSWOS demersal u24m o300kW'!$C$96</c:f>
              <c:strCache>
                <c:ptCount val="1"/>
                <c:pt idx="0">
                  <c:v>Haddock</c:v>
                </c:pt>
              </c:strCache>
            </c:strRef>
          </c:tx>
          <c:spPr>
            <a:solidFill>
              <a:srgbClr val="E84A38"/>
            </a:solidFill>
            <a:ln>
              <a:solidFill>
                <a:srgbClr val="FFFFFF"/>
              </a:solidFill>
            </a:ln>
          </c:spPr>
          <c:invertIfNegative val="0"/>
          <c:cat>
            <c:numRef>
              <c:f>'NSWOS demersal u24m o300kW'!$D$91:$M$91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o300kW'!$D$96:$M$96</c:f>
              <c:numCache>
                <c:formatCode>0%</c:formatCode>
                <c:ptCount val="10"/>
                <c:pt idx="0">
                  <c:v>0.12716385888484361</c:v>
                </c:pt>
                <c:pt idx="1">
                  <c:v>0.19118049834957648</c:v>
                </c:pt>
                <c:pt idx="2">
                  <c:v>0.19227705427281416</c:v>
                </c:pt>
                <c:pt idx="3">
                  <c:v>0.146299239451432</c:v>
                </c:pt>
                <c:pt idx="4">
                  <c:v>0.11687707363737342</c:v>
                </c:pt>
                <c:pt idx="5">
                  <c:v>0.10600729447270055</c:v>
                </c:pt>
                <c:pt idx="6">
                  <c:v>0.10308447918965936</c:v>
                </c:pt>
                <c:pt idx="7">
                  <c:v>9.2077262241523752E-2</c:v>
                </c:pt>
                <c:pt idx="8">
                  <c:v>0.10063850581152206</c:v>
                </c:pt>
                <c:pt idx="9">
                  <c:v>8.8386556141592784E-2</c:v>
                </c:pt>
              </c:numCache>
            </c:numRef>
          </c:val>
          <c:extLst>
            <c:ext xmlns:c16="http://schemas.microsoft.com/office/drawing/2014/chart" uri="{C3380CC4-5D6E-409C-BE32-E72D297353CC}">
              <c16:uniqueId val="{00000004-56B3-4A82-B96B-E6C379E35304}"/>
            </c:ext>
          </c:extLst>
        </c:ser>
        <c:ser>
          <c:idx val="5"/>
          <c:order val="5"/>
          <c:tx>
            <c:strRef>
              <c:f>'NSWOS demersal u24m o300kW'!$C$97</c:f>
              <c:strCache>
                <c:ptCount val="1"/>
                <c:pt idx="0">
                  <c:v>Squid</c:v>
                </c:pt>
              </c:strCache>
            </c:strRef>
          </c:tx>
          <c:spPr>
            <a:solidFill>
              <a:srgbClr val="0F9AA9"/>
            </a:solidFill>
            <a:ln>
              <a:solidFill>
                <a:srgbClr val="FFFFFF"/>
              </a:solidFill>
            </a:ln>
          </c:spPr>
          <c:invertIfNegative val="0"/>
          <c:cat>
            <c:numRef>
              <c:f>'NSWOS demersal u24m o300kW'!$D$91:$M$91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o300kW'!$D$97:$M$97</c:f>
              <c:numCache>
                <c:formatCode>0%</c:formatCode>
                <c:ptCount val="10"/>
                <c:pt idx="4">
                  <c:v>7.1527491717190847E-2</c:v>
                </c:pt>
              </c:numCache>
            </c:numRef>
          </c:val>
          <c:extLst>
            <c:ext xmlns:c16="http://schemas.microsoft.com/office/drawing/2014/chart" uri="{C3380CC4-5D6E-409C-BE32-E72D297353CC}">
              <c16:uniqueId val="{00000005-56B3-4A82-B96B-E6C379E35304}"/>
            </c:ext>
          </c:extLst>
        </c:ser>
        <c:ser>
          <c:idx val="6"/>
          <c:order val="6"/>
          <c:tx>
            <c:strRef>
              <c:f>'NSWOS demersal u24m o300kW'!$C$98</c:f>
              <c:strCache>
                <c:ptCount val="1"/>
                <c:pt idx="0">
                  <c:v>Others</c:v>
                </c:pt>
              </c:strCache>
            </c:strRef>
          </c:tx>
          <c:spPr>
            <a:solidFill>
              <a:srgbClr val="55585A"/>
            </a:solidFill>
            <a:ln>
              <a:solidFill>
                <a:srgbClr val="FFFFFF"/>
              </a:solidFill>
            </a:ln>
          </c:spPr>
          <c:invertIfNegative val="0"/>
          <c:cat>
            <c:numRef>
              <c:f>'NSWOS demersal u24m o300kW'!$D$91:$M$91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o300kW'!$D$98:$M$98</c:f>
              <c:numCache>
                <c:formatCode>0%</c:formatCode>
                <c:ptCount val="10"/>
                <c:pt idx="0">
                  <c:v>0.2569668097926906</c:v>
                </c:pt>
                <c:pt idx="1">
                  <c:v>0.2632152820965189</c:v>
                </c:pt>
                <c:pt idx="2">
                  <c:v>0.24397758479966353</c:v>
                </c:pt>
                <c:pt idx="3">
                  <c:v>0.24920822336913526</c:v>
                </c:pt>
                <c:pt idx="4">
                  <c:v>0.25801369361408694</c:v>
                </c:pt>
                <c:pt idx="5">
                  <c:v>0.27397415511659229</c:v>
                </c:pt>
                <c:pt idx="6">
                  <c:v>0.24031251862989367</c:v>
                </c:pt>
                <c:pt idx="7">
                  <c:v>0.26526534331857443</c:v>
                </c:pt>
                <c:pt idx="8">
                  <c:v>0.2372333925461787</c:v>
                </c:pt>
                <c:pt idx="9">
                  <c:v>0.20666498154492494</c:v>
                </c:pt>
              </c:numCache>
            </c:numRef>
          </c:val>
          <c:extLst>
            <c:ext xmlns:c16="http://schemas.microsoft.com/office/drawing/2014/chart" uri="{C3380CC4-5D6E-409C-BE32-E72D297353CC}">
              <c16:uniqueId val="{00000006-56B3-4A82-B96B-E6C379E35304}"/>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'NSWOS demersal u24m o300kW'!$B$162</c:f>
              <c:strCache>
                <c:ptCount val="1"/>
                <c:pt idx="0">
                  <c:v>Anglerfish</c:v>
                </c:pt>
              </c:strCache>
            </c:strRef>
          </c:tx>
          <c:spPr>
            <a:solidFill>
              <a:srgbClr val="2273B9"/>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o300kW'!$C$162:$E$162</c:f>
              <c:numCache>
                <c:formatCode>0%</c:formatCode>
                <c:ptCount val="3"/>
                <c:pt idx="0">
                  <c:v>0.26948762656851194</c:v>
                </c:pt>
                <c:pt idx="1">
                  <c:v>0.21796268350011644</c:v>
                </c:pt>
                <c:pt idx="2">
                  <c:v>0.15223418802276864</c:v>
                </c:pt>
              </c:numCache>
            </c:numRef>
          </c:val>
          <c:extLst>
            <c:ext xmlns:c16="http://schemas.microsoft.com/office/drawing/2014/chart" uri="{C3380CC4-5D6E-409C-BE32-E72D297353CC}">
              <c16:uniqueId val="{00000000-97C0-48A3-A866-9CD4648B2BA8}"/>
            </c:ext>
          </c:extLst>
        </c:ser>
        <c:ser>
          <c:idx val="1"/>
          <c:order val="1"/>
          <c:tx>
            <c:strRef>
              <c:f>'NSWOS demersal u24m o300kW'!$B$163</c:f>
              <c:strCache>
                <c:ptCount val="1"/>
                <c:pt idx="0">
                  <c:v>Haddock</c:v>
                </c:pt>
              </c:strCache>
            </c:strRef>
          </c:tx>
          <c:spPr>
            <a:solidFill>
              <a:srgbClr val="E84A38"/>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o300kW'!$C$163:$E$163</c:f>
              <c:numCache>
                <c:formatCode>0%</c:formatCode>
                <c:ptCount val="3"/>
                <c:pt idx="0">
                  <c:v>0.15031110385234048</c:v>
                </c:pt>
                <c:pt idx="1">
                  <c:v>0.19616050294996723</c:v>
                </c:pt>
                <c:pt idx="2">
                  <c:v>0.22345785656695319</c:v>
                </c:pt>
              </c:numCache>
            </c:numRef>
          </c:val>
          <c:extLst>
            <c:ext xmlns:c16="http://schemas.microsoft.com/office/drawing/2014/chart" uri="{C3380CC4-5D6E-409C-BE32-E72D297353CC}">
              <c16:uniqueId val="{00000001-97C0-48A3-A866-9CD4648B2BA8}"/>
            </c:ext>
          </c:extLst>
        </c:ser>
        <c:ser>
          <c:idx val="2"/>
          <c:order val="2"/>
          <c:tx>
            <c:strRef>
              <c:f>'NSWOS demersal u24m o300kW'!$B$164</c:f>
              <c:strCache>
                <c:ptCount val="1"/>
                <c:pt idx="0">
                  <c:v>Whiting</c:v>
                </c:pt>
              </c:strCache>
            </c:strRef>
          </c:tx>
          <c:spPr>
            <a:solidFill>
              <a:srgbClr val="0F9AA9"/>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o300kW'!$C$164:$E$164</c:f>
              <c:numCache>
                <c:formatCode>0%</c:formatCode>
                <c:ptCount val="3"/>
                <c:pt idx="0">
                  <c:v>0</c:v>
                </c:pt>
                <c:pt idx="1">
                  <c:v>0.14926270378284223</c:v>
                </c:pt>
                <c:pt idx="2">
                  <c:v>0.16987186338809326</c:v>
                </c:pt>
              </c:numCache>
            </c:numRef>
          </c:val>
          <c:extLst>
            <c:ext xmlns:c16="http://schemas.microsoft.com/office/drawing/2014/chart" uri="{C3380CC4-5D6E-409C-BE32-E72D297353CC}">
              <c16:uniqueId val="{00000002-97C0-48A3-A866-9CD4648B2BA8}"/>
            </c:ext>
          </c:extLst>
        </c:ser>
        <c:ser>
          <c:idx val="3"/>
          <c:order val="3"/>
          <c:tx>
            <c:strRef>
              <c:f>'NSWOS demersal u24m o300kW'!$B$165</c:f>
              <c:strCache>
                <c:ptCount val="1"/>
                <c:pt idx="0">
                  <c:v>Cod</c:v>
                </c:pt>
              </c:strCache>
            </c:strRef>
          </c:tx>
          <c:spPr>
            <a:solidFill>
              <a:srgbClr val="E87308"/>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o300kW'!$C$165:$E$165</c:f>
              <c:numCache>
                <c:formatCode>0%</c:formatCode>
                <c:ptCount val="3"/>
                <c:pt idx="0">
                  <c:v>0.12842705968877013</c:v>
                </c:pt>
                <c:pt idx="1">
                  <c:v>0.11390141995727308</c:v>
                </c:pt>
                <c:pt idx="2">
                  <c:v>0</c:v>
                </c:pt>
              </c:numCache>
            </c:numRef>
          </c:val>
          <c:extLst>
            <c:ext xmlns:c16="http://schemas.microsoft.com/office/drawing/2014/chart" uri="{C3380CC4-5D6E-409C-BE32-E72D297353CC}">
              <c16:uniqueId val="{00000003-97C0-48A3-A866-9CD4648B2BA8}"/>
            </c:ext>
          </c:extLst>
        </c:ser>
        <c:ser>
          <c:idx val="4"/>
          <c:order val="4"/>
          <c:tx>
            <c:strRef>
              <c:f>'NSWOS demersal u24m o300kW'!$B$166</c:f>
              <c:strCache>
                <c:ptCount val="1"/>
                <c:pt idx="0">
                  <c:v>Nephrops</c:v>
                </c:pt>
              </c:strCache>
            </c:strRef>
          </c:tx>
          <c:spPr>
            <a:solidFill>
              <a:srgbClr val="C1D119"/>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o300kW'!$C$166:$E$166</c:f>
              <c:numCache>
                <c:formatCode>0%</c:formatCode>
                <c:ptCount val="3"/>
                <c:pt idx="0">
                  <c:v>0</c:v>
                </c:pt>
                <c:pt idx="1">
                  <c:v>9.5667828631751203E-2</c:v>
                </c:pt>
                <c:pt idx="2">
                  <c:v>0.21187795123249686</c:v>
                </c:pt>
              </c:numCache>
            </c:numRef>
          </c:val>
          <c:extLst>
            <c:ext xmlns:c16="http://schemas.microsoft.com/office/drawing/2014/chart" uri="{C3380CC4-5D6E-409C-BE32-E72D297353CC}">
              <c16:uniqueId val="{00000004-97C0-48A3-A866-9CD4648B2BA8}"/>
            </c:ext>
          </c:extLst>
        </c:ser>
        <c:ser>
          <c:idx val="5"/>
          <c:order val="5"/>
          <c:tx>
            <c:strRef>
              <c:f>'NSWOS demersal u24m o300kW'!$B$167</c:f>
              <c:strCache>
                <c:ptCount val="1"/>
                <c:pt idx="0">
                  <c:v>Saithe</c:v>
                </c:pt>
              </c:strCache>
            </c:strRef>
          </c:tx>
          <c:spPr>
            <a:solidFill>
              <a:srgbClr val="FED825"/>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o300kW'!$C$167:$E$167</c:f>
              <c:numCache>
                <c:formatCode>0%</c:formatCode>
                <c:ptCount val="3"/>
                <c:pt idx="0">
                  <c:v>9.1884089530886823E-2</c:v>
                </c:pt>
                <c:pt idx="1">
                  <c:v>0</c:v>
                </c:pt>
                <c:pt idx="2">
                  <c:v>5.4995050125667459E-2</c:v>
                </c:pt>
              </c:numCache>
            </c:numRef>
          </c:val>
          <c:extLst>
            <c:ext xmlns:c16="http://schemas.microsoft.com/office/drawing/2014/chart" uri="{C3380CC4-5D6E-409C-BE32-E72D297353CC}">
              <c16:uniqueId val="{00000005-97C0-48A3-A866-9CD4648B2BA8}"/>
            </c:ext>
          </c:extLst>
        </c:ser>
        <c:ser>
          <c:idx val="6"/>
          <c:order val="6"/>
          <c:tx>
            <c:strRef>
              <c:f>'NSWOS demersal u24m o300kW'!$B$168</c:f>
              <c:strCache>
                <c:ptCount val="1"/>
                <c:pt idx="0">
                  <c:v>Megrim</c:v>
                </c:pt>
              </c:strCache>
            </c:strRef>
          </c:tx>
          <c:spPr>
            <a:solidFill>
              <a:srgbClr val="648C2E"/>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o300kW'!$C$168:$E$168</c:f>
              <c:numCache>
                <c:formatCode>0%</c:formatCode>
                <c:ptCount val="3"/>
                <c:pt idx="0">
                  <c:v>0.13937900209042511</c:v>
                </c:pt>
                <c:pt idx="1">
                  <c:v>0</c:v>
                </c:pt>
                <c:pt idx="2">
                  <c:v>0</c:v>
                </c:pt>
              </c:numCache>
            </c:numRef>
          </c:val>
          <c:extLst>
            <c:ext xmlns:c16="http://schemas.microsoft.com/office/drawing/2014/chart" uri="{C3380CC4-5D6E-409C-BE32-E72D297353CC}">
              <c16:uniqueId val="{00000006-97C0-48A3-A866-9CD4648B2BA8}"/>
            </c:ext>
          </c:extLst>
        </c:ser>
        <c:ser>
          <c:idx val="7"/>
          <c:order val="7"/>
          <c:tx>
            <c:strRef>
              <c:f>'NSWOS demersal u24m o300kW'!$B$169</c:f>
              <c:strCache>
                <c:ptCount val="1"/>
                <c:pt idx="0">
                  <c:v>Others</c:v>
                </c:pt>
              </c:strCache>
            </c:strRef>
          </c:tx>
          <c:spPr>
            <a:solidFill>
              <a:srgbClr val="55585A"/>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o300kW'!$C$169:$E$169</c:f>
              <c:numCache>
                <c:formatCode>0%</c:formatCode>
                <c:ptCount val="3"/>
                <c:pt idx="0">
                  <c:v>0.22051111826906555</c:v>
                </c:pt>
                <c:pt idx="1">
                  <c:v>0.22704486117804989</c:v>
                </c:pt>
                <c:pt idx="2">
                  <c:v>0.18756309066402066</c:v>
                </c:pt>
              </c:numCache>
            </c:numRef>
          </c:val>
          <c:extLst>
            <c:ext xmlns:c16="http://schemas.microsoft.com/office/drawing/2014/chart" uri="{C3380CC4-5D6E-409C-BE32-E72D297353CC}">
              <c16:uniqueId val="{00000007-97C0-48A3-A866-9CD4648B2BA8}"/>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'NSWOS demersal u24m o300kW'!$H$162</c:f>
              <c:strCache>
                <c:ptCount val="1"/>
                <c:pt idx="0">
                  <c:v>Anglerfish</c:v>
                </c:pt>
              </c:strCache>
            </c:strRef>
          </c:tx>
          <c:spPr>
            <a:solidFill>
              <a:srgbClr val="2273B9"/>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o300kW'!$I$162:$K$162</c:f>
              <c:numCache>
                <c:formatCode>0%</c:formatCode>
                <c:ptCount val="3"/>
                <c:pt idx="0">
                  <c:v>0.31695783452772064</c:v>
                </c:pt>
                <c:pt idx="1">
                  <c:v>0.29541658198786025</c:v>
                </c:pt>
                <c:pt idx="2">
                  <c:v>0.17875695286301968</c:v>
                </c:pt>
              </c:numCache>
            </c:numRef>
          </c:val>
          <c:extLst>
            <c:ext xmlns:c16="http://schemas.microsoft.com/office/drawing/2014/chart" uri="{C3380CC4-5D6E-409C-BE32-E72D297353CC}">
              <c16:uniqueId val="{00000000-8B5F-4F04-85B2-55B6AEA2C930}"/>
            </c:ext>
          </c:extLst>
        </c:ser>
        <c:ser>
          <c:idx val="1"/>
          <c:order val="1"/>
          <c:tx>
            <c:strRef>
              <c:f>'NSWOS demersal u24m o300kW'!$H$163</c:f>
              <c:strCache>
                <c:ptCount val="1"/>
                <c:pt idx="0">
                  <c:v>Cod</c:v>
                </c:pt>
              </c:strCache>
            </c:strRef>
          </c:tx>
          <c:spPr>
            <a:solidFill>
              <a:srgbClr val="E87308"/>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o300kW'!$I$163:$K$163</c:f>
              <c:numCache>
                <c:formatCode>0%</c:formatCode>
                <c:ptCount val="3"/>
                <c:pt idx="0">
                  <c:v>0.15338354347833347</c:v>
                </c:pt>
                <c:pt idx="1">
                  <c:v>0.16221220804039094</c:v>
                </c:pt>
                <c:pt idx="2">
                  <c:v>5.0870839765614365E-2</c:v>
                </c:pt>
              </c:numCache>
            </c:numRef>
          </c:val>
          <c:extLst>
            <c:ext xmlns:c16="http://schemas.microsoft.com/office/drawing/2014/chart" uri="{C3380CC4-5D6E-409C-BE32-E72D297353CC}">
              <c16:uniqueId val="{00000001-8B5F-4F04-85B2-55B6AEA2C930}"/>
            </c:ext>
          </c:extLst>
        </c:ser>
        <c:ser>
          <c:idx val="2"/>
          <c:order val="2"/>
          <c:tx>
            <c:strRef>
              <c:f>'NSWOS demersal u24m o300kW'!$H$164</c:f>
              <c:strCache>
                <c:ptCount val="1"/>
                <c:pt idx="0">
                  <c:v>Nephrops</c:v>
                </c:pt>
              </c:strCache>
            </c:strRef>
          </c:tx>
          <c:spPr>
            <a:solidFill>
              <a:srgbClr val="C1D119"/>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o300kW'!$I$164:$K$164</c:f>
              <c:numCache>
                <c:formatCode>0%</c:formatCode>
                <c:ptCount val="3"/>
                <c:pt idx="0">
                  <c:v>0</c:v>
                </c:pt>
                <c:pt idx="1">
                  <c:v>0.13147518281476406</c:v>
                </c:pt>
                <c:pt idx="2">
                  <c:v>0.23585689513653935</c:v>
                </c:pt>
              </c:numCache>
            </c:numRef>
          </c:val>
          <c:extLst>
            <c:ext xmlns:c16="http://schemas.microsoft.com/office/drawing/2014/chart" uri="{C3380CC4-5D6E-409C-BE32-E72D297353CC}">
              <c16:uniqueId val="{00000002-8B5F-4F04-85B2-55B6AEA2C930}"/>
            </c:ext>
          </c:extLst>
        </c:ser>
        <c:ser>
          <c:idx val="3"/>
          <c:order val="3"/>
          <c:tx>
            <c:strRef>
              <c:f>'NSWOS demersal u24m o300kW'!$H$165</c:f>
              <c:strCache>
                <c:ptCount val="1"/>
                <c:pt idx="0">
                  <c:v>Haddock</c:v>
                </c:pt>
              </c:strCache>
            </c:strRef>
          </c:tx>
          <c:spPr>
            <a:solidFill>
              <a:srgbClr val="E84A38"/>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o300kW'!$I$165:$K$165</c:f>
              <c:numCache>
                <c:formatCode>0%</c:formatCode>
                <c:ptCount val="3"/>
                <c:pt idx="0">
                  <c:v>8.1602702721132361E-2</c:v>
                </c:pt>
                <c:pt idx="1">
                  <c:v>0.11935120394350027</c:v>
                </c:pt>
                <c:pt idx="2">
                  <c:v>0.10297325355367513</c:v>
                </c:pt>
              </c:numCache>
            </c:numRef>
          </c:val>
          <c:extLst>
            <c:ext xmlns:c16="http://schemas.microsoft.com/office/drawing/2014/chart" uri="{C3380CC4-5D6E-409C-BE32-E72D297353CC}">
              <c16:uniqueId val="{00000003-8B5F-4F04-85B2-55B6AEA2C930}"/>
            </c:ext>
          </c:extLst>
        </c:ser>
        <c:ser>
          <c:idx val="4"/>
          <c:order val="4"/>
          <c:tx>
            <c:strRef>
              <c:f>'NSWOS demersal u24m o300kW'!$H$166</c:f>
              <c:strCache>
                <c:ptCount val="1"/>
                <c:pt idx="0">
                  <c:v>Megrim</c:v>
                </c:pt>
              </c:strCache>
            </c:strRef>
          </c:tx>
          <c:spPr>
            <a:solidFill>
              <a:srgbClr val="648C2E"/>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o300kW'!$I$166:$K$166</c:f>
              <c:numCache>
                <c:formatCode>0%</c:formatCode>
                <c:ptCount val="3"/>
                <c:pt idx="0">
                  <c:v>0.21079627592184175</c:v>
                </c:pt>
                <c:pt idx="1">
                  <c:v>0.10182615013310134</c:v>
                </c:pt>
                <c:pt idx="2">
                  <c:v>0</c:v>
                </c:pt>
              </c:numCache>
            </c:numRef>
          </c:val>
          <c:extLst>
            <c:ext xmlns:c16="http://schemas.microsoft.com/office/drawing/2014/chart" uri="{C3380CC4-5D6E-409C-BE32-E72D297353CC}">
              <c16:uniqueId val="{00000004-8B5F-4F04-85B2-55B6AEA2C930}"/>
            </c:ext>
          </c:extLst>
        </c:ser>
        <c:ser>
          <c:idx val="5"/>
          <c:order val="5"/>
          <c:tx>
            <c:strRef>
              <c:f>'NSWOS demersal u24m o300kW'!$H$167</c:f>
              <c:strCache>
                <c:ptCount val="1"/>
                <c:pt idx="0">
                  <c:v>Whiting</c:v>
                </c:pt>
              </c:strCache>
            </c:strRef>
          </c:tx>
          <c:spPr>
            <a:solidFill>
              <a:srgbClr val="0F9AA9"/>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o300kW'!$I$167:$K$167</c:f>
              <c:numCache>
                <c:formatCode>0%</c:formatCode>
                <c:ptCount val="3"/>
                <c:pt idx="0">
                  <c:v>0</c:v>
                </c:pt>
                <c:pt idx="1">
                  <c:v>0</c:v>
                </c:pt>
                <c:pt idx="2">
                  <c:v>7.5137686279921123E-2</c:v>
                </c:pt>
              </c:numCache>
            </c:numRef>
          </c:val>
          <c:extLst>
            <c:ext xmlns:c16="http://schemas.microsoft.com/office/drawing/2014/chart" uri="{C3380CC4-5D6E-409C-BE32-E72D297353CC}">
              <c16:uniqueId val="{00000005-8B5F-4F04-85B2-55B6AEA2C930}"/>
            </c:ext>
          </c:extLst>
        </c:ser>
        <c:ser>
          <c:idx val="6"/>
          <c:order val="6"/>
          <c:tx>
            <c:strRef>
              <c:f>'NSWOS demersal u24m o300kW'!$H$168</c:f>
              <c:strCache>
                <c:ptCount val="1"/>
                <c:pt idx="0">
                  <c:v>Squid</c:v>
                </c:pt>
              </c:strCache>
            </c:strRef>
          </c:tx>
          <c:spPr>
            <a:solidFill>
              <a:srgbClr val="707271"/>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o300kW'!$I$168:$K$168</c:f>
              <c:numCache>
                <c:formatCode>0%</c:formatCode>
                <c:ptCount val="3"/>
                <c:pt idx="0">
                  <c:v>4.5914268347771001E-2</c:v>
                </c:pt>
                <c:pt idx="1">
                  <c:v>0</c:v>
                </c:pt>
                <c:pt idx="2">
                  <c:v>0</c:v>
                </c:pt>
              </c:numCache>
            </c:numRef>
          </c:val>
          <c:extLst>
            <c:ext xmlns:c16="http://schemas.microsoft.com/office/drawing/2014/chart" uri="{C3380CC4-5D6E-409C-BE32-E72D297353CC}">
              <c16:uniqueId val="{00000006-8B5F-4F04-85B2-55B6AEA2C930}"/>
            </c:ext>
          </c:extLst>
        </c:ser>
        <c:ser>
          <c:idx val="7"/>
          <c:order val="7"/>
          <c:tx>
            <c:strRef>
              <c:f>'NSWOS demersal u24m o300kW'!$H$169</c:f>
              <c:strCache>
                <c:ptCount val="1"/>
                <c:pt idx="0">
                  <c:v>Others</c:v>
                </c:pt>
              </c:strCache>
            </c:strRef>
          </c:tx>
          <c:spPr>
            <a:solidFill>
              <a:srgbClr val="55585A"/>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o300kW'!$I$169:$K$169</c:f>
              <c:numCache>
                <c:formatCode>0%</c:formatCode>
                <c:ptCount val="3"/>
                <c:pt idx="0">
                  <c:v>0.1913453750032007</c:v>
                </c:pt>
                <c:pt idx="1">
                  <c:v>0.18971867308038315</c:v>
                </c:pt>
                <c:pt idx="2">
                  <c:v>0.35640437240123035</c:v>
                </c:pt>
              </c:numCache>
            </c:numRef>
          </c:val>
          <c:extLst>
            <c:ext xmlns:c16="http://schemas.microsoft.com/office/drawing/2014/chart" uri="{C3380CC4-5D6E-409C-BE32-E72D297353CC}">
              <c16:uniqueId val="{00000007-8B5F-4F04-85B2-55B6AEA2C930}"/>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'NSWOS demersal u24m o300kW'!$K$139</c:f>
              <c:strCache>
                <c:ptCount val="1"/>
                <c:pt idx="0">
                  <c:v>Total income</c:v>
                </c:pt>
              </c:strCache>
            </c:strRef>
          </c:tx>
          <c:spPr>
            <a:solidFill>
              <a:srgbClr val="087CBB"/>
            </a:solidFill>
            <a:ln>
              <a:solidFill>
                <a:schemeClr val="accent1"/>
              </a:solidFill>
            </a:ln>
          </c:spPr>
          <c:invertIfNegative val="0"/>
          <c:cat>
            <c:strRef>
              <c:f>'NSWOS demersal u24m o300kW'!$L$138:$N$138</c:f>
              <c:strCache>
                <c:ptCount val="3"/>
                <c:pt idx="0">
                  <c:v>Most
profitable
quartile</c:v>
                </c:pt>
                <c:pt idx="1">
                  <c:v>Middle
two quartiles</c:v>
                </c:pt>
                <c:pt idx="2">
                  <c:v>Least
profitable
quartile</c:v>
                </c:pt>
              </c:strCache>
            </c:strRef>
          </c:cat>
          <c:val>
            <c:numRef>
              <c:f>'NSWOS demersal u24m o300kW'!$L$139:$N$139</c:f>
              <c:numCache>
                <c:formatCode>#,##0</c:formatCode>
                <c:ptCount val="3"/>
                <c:pt idx="0">
                  <c:v>2251.9897500000002</c:v>
                </c:pt>
                <c:pt idx="1">
                  <c:v>1405.77475</c:v>
                </c:pt>
                <c:pt idx="2">
                  <c:v>835.78381249999995</c:v>
                </c:pt>
              </c:numCache>
            </c:numRef>
          </c:val>
          <c:extLst>
            <c:ext xmlns:c16="http://schemas.microsoft.com/office/drawing/2014/chart" uri="{C3380CC4-5D6E-409C-BE32-E72D297353CC}">
              <c16:uniqueId val="{00000000-81AC-4AAD-A72E-1ACE165E207A}"/>
            </c:ext>
          </c:extLst>
        </c:ser>
        <c:ser>
          <c:idx val="1"/>
          <c:order val="1"/>
          <c:tx>
            <c:strRef>
              <c:f>'NSWOS demersal u24m o300kW'!$K$140</c:f>
              <c:strCache>
                <c:ptCount val="1"/>
                <c:pt idx="0">
                  <c:v>Operating costs</c:v>
                </c:pt>
              </c:strCache>
            </c:strRef>
          </c:tx>
          <c:spPr>
            <a:solidFill>
              <a:srgbClr val="E87308"/>
            </a:solidFill>
          </c:spPr>
          <c:invertIfNegative val="0"/>
          <c:cat>
            <c:strRef>
              <c:f>'NSWOS demersal u24m o300kW'!$L$138:$N$138</c:f>
              <c:strCache>
                <c:ptCount val="3"/>
                <c:pt idx="0">
                  <c:v>Most
profitable
quartile</c:v>
                </c:pt>
                <c:pt idx="1">
                  <c:v>Middle
two quartiles</c:v>
                </c:pt>
                <c:pt idx="2">
                  <c:v>Least
profitable
quartile</c:v>
                </c:pt>
              </c:strCache>
            </c:strRef>
          </c:cat>
          <c:val>
            <c:numRef>
              <c:f>'NSWOS demersal u24m o300kW'!$L$140:$N$140</c:f>
              <c:numCache>
                <c:formatCode>#,##0</c:formatCode>
                <c:ptCount val="3"/>
                <c:pt idx="0">
                  <c:v>1640.221875</c:v>
                </c:pt>
                <c:pt idx="1">
                  <c:v>1098.3215</c:v>
                </c:pt>
                <c:pt idx="2">
                  <c:v>725.37993749999998</c:v>
                </c:pt>
              </c:numCache>
            </c:numRef>
          </c:val>
          <c:extLst>
            <c:ext xmlns:c16="http://schemas.microsoft.com/office/drawing/2014/chart" uri="{C3380CC4-5D6E-409C-BE32-E72D297353CC}">
              <c16:uniqueId val="{00000001-81AC-4AAD-A72E-1ACE165E207A}"/>
            </c:ext>
          </c:extLst>
        </c:ser>
        <c:ser>
          <c:idx val="2"/>
          <c:order val="2"/>
          <c:tx>
            <c:strRef>
              <c:f>'NSWOS demersal u24m o300kW'!$K$141</c:f>
              <c:strCache>
                <c:ptCount val="1"/>
                <c:pt idx="0">
                  <c:v>Operating profit</c:v>
                </c:pt>
              </c:strCache>
            </c:strRef>
          </c:tx>
          <c:spPr>
            <a:solidFill>
              <a:srgbClr val="51AA81"/>
            </a:solidFill>
          </c:spPr>
          <c:invertIfNegative val="0"/>
          <c:cat>
            <c:strRef>
              <c:f>'NSWOS demersal u24m o300kW'!$L$138:$N$138</c:f>
              <c:strCache>
                <c:ptCount val="3"/>
                <c:pt idx="0">
                  <c:v>Most
profitable
quartile</c:v>
                </c:pt>
                <c:pt idx="1">
                  <c:v>Middle
two quartiles</c:v>
                </c:pt>
                <c:pt idx="2">
                  <c:v>Least
profitable
quartile</c:v>
                </c:pt>
              </c:strCache>
            </c:strRef>
          </c:cat>
          <c:val>
            <c:numRef>
              <c:f>'NSWOS demersal u24m o300kW'!$L$141:$N$141</c:f>
              <c:numCache>
                <c:formatCode>#,##0</c:formatCode>
                <c:ptCount val="3"/>
                <c:pt idx="0">
                  <c:v>611.767875</c:v>
                </c:pt>
                <c:pt idx="1">
                  <c:v>307.45325000000003</c:v>
                </c:pt>
                <c:pt idx="2">
                  <c:v>110.403875</c:v>
                </c:pt>
              </c:numCache>
            </c:numRef>
          </c:val>
          <c:extLst>
            <c:ext xmlns:c16="http://schemas.microsoft.com/office/drawing/2014/chart" uri="{C3380CC4-5D6E-409C-BE32-E72D297353CC}">
              <c16:uniqueId val="{00000002-81AC-4AAD-A72E-1ACE165E207A}"/>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'NSWOS demersal u24m o300kW'!$K$142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u300kW'!$A$48</c:f>
          <c:strCache>
            <c:ptCount val="1"/>
            <c:pt idx="0">
              <c:v>Landings per kW day at sea (kg)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CC7C-480F-90E5-60D4ED21273E}"/>
              </c:ext>
            </c:extLst>
          </c:dPt>
          <c:dPt>
            <c:idx val="10"/>
            <c:bubble3D val="0"/>
            <c:spPr>
              <a:ln w="57150">
                <a:solidFill>
                  <a:srgbClr val="2273B9"/>
                </a:solidFill>
                <a:prstDash val="sysDot"/>
              </a:ln>
            </c:spPr>
            <c:extLst>
              <c:ext xmlns:c16="http://schemas.microsoft.com/office/drawing/2014/chart" uri="{C3380CC4-5D6E-409C-BE32-E72D297353CC}">
                <c16:uniqueId val="{00000003-CC7C-480F-90E5-60D4ED21273E}"/>
              </c:ext>
            </c:extLst>
          </c:dPt>
          <c:cat>
            <c:numRef>
              <c:f>'NSWOS demersal u24m u300kW'!$D$2:$N$2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'NSWOS demersal u24m u300kW'!$D$21:$N$21</c:f>
              <c:numCache>
                <c:formatCode>#,##0.00</c:formatCode>
                <c:ptCount val="11"/>
                <c:pt idx="0">
                  <c:v>5.5002880272759604</c:v>
                </c:pt>
                <c:pt idx="1">
                  <c:v>7.6653301368914653</c:v>
                </c:pt>
                <c:pt idx="2">
                  <c:v>7.9114962639964865</c:v>
                </c:pt>
                <c:pt idx="3">
                  <c:v>4.9696754209153182</c:v>
                </c:pt>
                <c:pt idx="4">
                  <c:v>3.9697490227701131</c:v>
                </c:pt>
                <c:pt idx="5">
                  <c:v>4.6695379283710974</c:v>
                </c:pt>
                <c:pt idx="6">
                  <c:v>4.5175580097613892</c:v>
                </c:pt>
                <c:pt idx="7">
                  <c:v>4.7330681450512442</c:v>
                </c:pt>
                <c:pt idx="8">
                  <c:v>3.7099456485360918</c:v>
                </c:pt>
                <c:pt idx="9">
                  <c:v>3.8839985959231096</c:v>
                </c:pt>
                <c:pt idx="10">
                  <c:v>3.6223688628013289</c:v>
                </c:pt>
              </c:numCache>
            </c:numRef>
          </c:val>
          <c:smooth val="0"/>
          <c:extLst>
            <c:ext xmlns:c16="http://schemas.microsoft.com/office/drawing/2014/chart" uri="{C3380CC4-5D6E-409C-BE32-E72D297353CC}">
              <c16:uniqueId val="{00000004-CC7C-480F-90E5-60D4ED21273E}"/>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u300kW'!$A$49</c:f>
          <c:strCache>
            <c:ptCount val="1"/>
            <c:pt idx="0">
              <c:v>Fishing income per kW day at sea (£)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DCC3-44B1-983E-3A87729F7BBA}"/>
              </c:ext>
            </c:extLst>
          </c:dPt>
          <c:dPt>
            <c:idx val="10"/>
            <c:bubble3D val="0"/>
            <c:spPr>
              <a:ln w="57150">
                <a:solidFill>
                  <a:srgbClr val="648C2E"/>
                </a:solidFill>
                <a:prstDash val="sysDot"/>
              </a:ln>
            </c:spPr>
            <c:extLst>
              <c:ext xmlns:c16="http://schemas.microsoft.com/office/drawing/2014/chart" uri="{C3380CC4-5D6E-409C-BE32-E72D297353CC}">
                <c16:uniqueId val="{00000003-DCC3-44B1-983E-3A87729F7BBA}"/>
              </c:ext>
            </c:extLst>
          </c:dPt>
          <c:cat>
            <c:numRef>
              <c:f>'NSWOS demersal u24m u300kW'!$D$2:$N$2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'NSWOS demersal u24m u300kW'!$D$22:$N$22</c:f>
              <c:numCache>
                <c:formatCode>#,##0.00</c:formatCode>
                <c:ptCount val="11"/>
                <c:pt idx="0">
                  <c:v>11.2414860655234</c:v>
                </c:pt>
                <c:pt idx="1">
                  <c:v>12.481203691045099</c:v>
                </c:pt>
                <c:pt idx="2">
                  <c:v>11.766763665687099</c:v>
                </c:pt>
                <c:pt idx="3">
                  <c:v>9.8320035389461307</c:v>
                </c:pt>
                <c:pt idx="4">
                  <c:v>8.6233274712370704</c:v>
                </c:pt>
                <c:pt idx="5">
                  <c:v>12.2207033885441</c:v>
                </c:pt>
                <c:pt idx="6">
                  <c:v>13.825475614705701</c:v>
                </c:pt>
                <c:pt idx="7">
                  <c:v>12.491713310939501</c:v>
                </c:pt>
                <c:pt idx="8">
                  <c:v>11.256252493736801</c:v>
                </c:pt>
                <c:pt idx="9">
                  <c:v>8.1107753601449701</c:v>
                </c:pt>
                <c:pt idx="10">
                  <c:v>8.0895614540551257</c:v>
                </c:pt>
              </c:numCache>
            </c:numRef>
          </c:val>
          <c:smooth val="0"/>
          <c:extLst>
            <c:ext xmlns:c16="http://schemas.microsoft.com/office/drawing/2014/chart" uri="{C3380CC4-5D6E-409C-BE32-E72D297353CC}">
              <c16:uniqueId val="{00000004-DCC3-44B1-983E-3A87729F7BBA}"/>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u300kW'!$B$62</c:f>
          <c:strCache>
            <c:ptCount val="1"/>
            <c:pt idx="0">
              <c:v>Total cost per kW day at sea (£)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68EE-47E2-8BAC-F81C310548C9}"/>
              </c:ext>
            </c:extLst>
          </c:dPt>
          <c:dPt>
            <c:idx val="10"/>
            <c:bubble3D val="0"/>
            <c:spPr>
              <a:ln w="57150">
                <a:solidFill>
                  <a:srgbClr val="087CBB"/>
                </a:solidFill>
                <a:prstDash val="sysDot"/>
              </a:ln>
            </c:spPr>
            <c:extLst>
              <c:ext xmlns:c16="http://schemas.microsoft.com/office/drawing/2014/chart" uri="{C3380CC4-5D6E-409C-BE32-E72D297353CC}">
                <c16:uniqueId val="{00000003-68EE-47E2-8BAC-F81C310548C9}"/>
              </c:ext>
            </c:extLst>
          </c:dPt>
          <c:cat>
            <c:numRef>
              <c:f>'NSWOS demersal u24m u300kW'!$D$2:$N$2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'NSWOS demersal u24m u300kW'!$D$23:$N$23</c:f>
              <c:numCache>
                <c:formatCode>#,##0.00</c:formatCode>
                <c:ptCount val="11"/>
                <c:pt idx="0">
                  <c:v>11.801085107768699</c:v>
                </c:pt>
                <c:pt idx="1">
                  <c:v>12.1782860017979</c:v>
                </c:pt>
                <c:pt idx="2">
                  <c:v>11.064246201891899</c:v>
                </c:pt>
                <c:pt idx="3">
                  <c:v>9.2001230612283305</c:v>
                </c:pt>
                <c:pt idx="4">
                  <c:v>7.7239566935554897</c:v>
                </c:pt>
                <c:pt idx="5">
                  <c:v>10.253520170311401</c:v>
                </c:pt>
                <c:pt idx="6">
                  <c:v>12.5354390378365</c:v>
                </c:pt>
                <c:pt idx="7">
                  <c:v>12.090340702012799</c:v>
                </c:pt>
                <c:pt idx="8">
                  <c:v>10.6853461079134</c:v>
                </c:pt>
                <c:pt idx="9">
                  <c:v>7.9415935303462302</c:v>
                </c:pt>
                <c:pt idx="10">
                  <c:v>9.1855084989320765</c:v>
                </c:pt>
              </c:numCache>
            </c:numRef>
          </c:val>
          <c:smooth val="0"/>
          <c:extLst>
            <c:ext xmlns:c16="http://schemas.microsoft.com/office/drawing/2014/chart" uri="{C3380CC4-5D6E-409C-BE32-E72D297353CC}">
              <c16:uniqueId val="{00000004-68EE-47E2-8BAC-F81C310548C9}"/>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u300kW'!$K$48</c:f>
          <c:strCache>
            <c:ptCount val="1"/>
            <c:pt idx="0">
              <c:v>Operating profit per kW day at sea (£)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8AED-4098-B09A-B50F41A69032}"/>
              </c:ext>
            </c:extLst>
          </c:dPt>
          <c:dPt>
            <c:idx val="10"/>
            <c:bubble3D val="0"/>
            <c:spPr>
              <a:ln w="57150">
                <a:solidFill>
                  <a:schemeClr val="accent3"/>
                </a:solidFill>
                <a:prstDash val="sysDot"/>
              </a:ln>
            </c:spPr>
            <c:extLst>
              <c:ext xmlns:c16="http://schemas.microsoft.com/office/drawing/2014/chart" uri="{C3380CC4-5D6E-409C-BE32-E72D297353CC}">
                <c16:uniqueId val="{00000003-8AED-4098-B09A-B50F41A69032}"/>
              </c:ext>
            </c:extLst>
          </c:dPt>
          <c:cat>
            <c:numRef>
              <c:f>'NSWOS demersal u24m u300kW'!$D$2:$N$2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'NSWOS demersal u24m u300kW'!$D$24:$N$24</c:f>
              <c:numCache>
                <c:formatCode>#,##0.00</c:formatCode>
                <c:ptCount val="11"/>
                <c:pt idx="0">
                  <c:v>3.2384328747543498</c:v>
                </c:pt>
                <c:pt idx="1">
                  <c:v>2.5145012085651701</c:v>
                </c:pt>
                <c:pt idx="2">
                  <c:v>1.9559335439751799</c:v>
                </c:pt>
                <c:pt idx="3">
                  <c:v>1.4861828543117801</c:v>
                </c:pt>
                <c:pt idx="4">
                  <c:v>1.4720278485418901</c:v>
                </c:pt>
                <c:pt idx="5">
                  <c:v>2.0163737286634702</c:v>
                </c:pt>
                <c:pt idx="6">
                  <c:v>5.1932246083668598</c:v>
                </c:pt>
                <c:pt idx="7">
                  <c:v>1.9883686834271399</c:v>
                </c:pt>
                <c:pt idx="8">
                  <c:v>1.7584304039127501</c:v>
                </c:pt>
                <c:pt idx="9">
                  <c:v>1.86497166037766</c:v>
                </c:pt>
                <c:pt idx="10">
                  <c:v>1.1878859382606934</c:v>
                </c:pt>
              </c:numCache>
            </c:numRef>
          </c:val>
          <c:smooth val="0"/>
          <c:extLst>
            <c:ext xmlns:c16="http://schemas.microsoft.com/office/drawing/2014/chart" uri="{C3380CC4-5D6E-409C-BE32-E72D297353CC}">
              <c16:uniqueId val="{00000004-8AED-4098-B09A-B50F41A69032}"/>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u300kW'!$A$50</c:f>
          <c:strCache>
            <c:ptCount val="1"/>
            <c:pt idx="0">
              <c:v>Average price per tonne landed (£)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3D7C-48D1-86EB-8A4C8D1FA928}"/>
              </c:ext>
            </c:extLst>
          </c:dPt>
          <c:dPt>
            <c:idx val="10"/>
            <c:bubble3D val="0"/>
            <c:spPr>
              <a:ln w="57150">
                <a:solidFill>
                  <a:schemeClr val="accent4"/>
                </a:solidFill>
                <a:prstDash val="sysDot"/>
              </a:ln>
            </c:spPr>
            <c:extLst>
              <c:ext xmlns:c16="http://schemas.microsoft.com/office/drawing/2014/chart" uri="{C3380CC4-5D6E-409C-BE32-E72D297353CC}">
                <c16:uniqueId val="{00000003-3D7C-48D1-86EB-8A4C8D1FA928}"/>
              </c:ext>
            </c:extLst>
          </c:dPt>
          <c:cat>
            <c:numRef>
              <c:f>'NSWOS demersal u24m u300kW'!$D$2:$M$2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u300kW'!$D$20:$N$20</c:f>
              <c:numCache>
                <c:formatCode>#,##0</c:formatCode>
                <c:ptCount val="11"/>
                <c:pt idx="0">
                  <c:v>2044</c:v>
                </c:pt>
                <c:pt idx="1">
                  <c:v>1628</c:v>
                </c:pt>
                <c:pt idx="2">
                  <c:v>1487</c:v>
                </c:pt>
                <c:pt idx="3">
                  <c:v>1978</c:v>
                </c:pt>
                <c:pt idx="4">
                  <c:v>2172</c:v>
                </c:pt>
                <c:pt idx="5">
                  <c:v>2617</c:v>
                </c:pt>
                <c:pt idx="6">
                  <c:v>3060</c:v>
                </c:pt>
                <c:pt idx="7">
                  <c:v>2639</c:v>
                </c:pt>
                <c:pt idx="8">
                  <c:v>3034</c:v>
                </c:pt>
                <c:pt idx="9">
                  <c:v>2088</c:v>
                </c:pt>
                <c:pt idx="10">
                  <c:v>2233</c:v>
                </c:pt>
              </c:numCache>
            </c:numRef>
          </c:val>
          <c:smooth val="0"/>
          <c:extLst>
            <c:ext xmlns:c16="http://schemas.microsoft.com/office/drawing/2014/chart" uri="{C3380CC4-5D6E-409C-BE32-E72D297353CC}">
              <c16:uniqueId val="{00000004-3D7C-48D1-86EB-8A4C8D1FA928}"/>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o250kW'!$K$77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VIIa nephrops o250kW'!$C$92</c:f>
              <c:strCache>
                <c:ptCount val="1"/>
                <c:pt idx="0">
                  <c:v>Nephrops</c:v>
                </c:pt>
              </c:strCache>
            </c:strRef>
          </c:tx>
          <c:spPr>
            <a:solidFill>
              <a:srgbClr val="2273B9"/>
            </a:solidFill>
            <a:ln>
              <a:solidFill>
                <a:srgbClr val="FFFFFF"/>
              </a:solidFill>
            </a:ln>
          </c:spPr>
          <c:invertIfNegative val="0"/>
          <c:cat>
            <c:numRef>
              <c:f>'Area VIIa nephrops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o250kW'!$D$92:$M$92</c:f>
              <c:numCache>
                <c:formatCode>0%</c:formatCode>
                <c:ptCount val="10"/>
                <c:pt idx="0">
                  <c:v>0.90329188292452767</c:v>
                </c:pt>
                <c:pt idx="1">
                  <c:v>0.85618417137340519</c:v>
                </c:pt>
                <c:pt idx="2">
                  <c:v>0.89523202079674202</c:v>
                </c:pt>
                <c:pt idx="3">
                  <c:v>0.90538709198932132</c:v>
                </c:pt>
                <c:pt idx="4">
                  <c:v>0.90821284781460132</c:v>
                </c:pt>
                <c:pt idx="5">
                  <c:v>0.89171775330334557</c:v>
                </c:pt>
                <c:pt idx="6">
                  <c:v>0.85324076417206496</c:v>
                </c:pt>
                <c:pt idx="7">
                  <c:v>0.91657921392830921</c:v>
                </c:pt>
                <c:pt idx="8">
                  <c:v>0.92341228690734312</c:v>
                </c:pt>
                <c:pt idx="9">
                  <c:v>0.92248407685846812</c:v>
                </c:pt>
              </c:numCache>
            </c:numRef>
          </c:val>
          <c:extLst>
            <c:ext xmlns:c16="http://schemas.microsoft.com/office/drawing/2014/chart" uri="{C3380CC4-5D6E-409C-BE32-E72D297353CC}">
              <c16:uniqueId val="{00000000-5AC2-4DA2-8178-61FB374967D8}"/>
            </c:ext>
          </c:extLst>
        </c:ser>
        <c:ser>
          <c:idx val="1"/>
          <c:order val="1"/>
          <c:tx>
            <c:strRef>
              <c:f>'Area VIIa nephrops o250kW'!$C$93</c:f>
              <c:strCache>
                <c:ptCount val="1"/>
                <c:pt idx="0">
                  <c:v>Anglerfish</c:v>
                </c:pt>
              </c:strCache>
            </c:strRef>
          </c:tx>
          <c:spPr>
            <a:solidFill>
              <a:srgbClr val="E87308"/>
            </a:solidFill>
            <a:ln>
              <a:solidFill>
                <a:srgbClr val="FFFFFF"/>
              </a:solidFill>
            </a:ln>
          </c:spPr>
          <c:invertIfNegative val="0"/>
          <c:cat>
            <c:numRef>
              <c:f>'Area VIIa nephrops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o250kW'!$D$93:$M$93</c:f>
              <c:numCache>
                <c:formatCode>0%</c:formatCode>
                <c:ptCount val="10"/>
                <c:pt idx="0">
                  <c:v>2.2121364132377305E-2</c:v>
                </c:pt>
                <c:pt idx="1">
                  <c:v>2.8196673500769938E-2</c:v>
                </c:pt>
                <c:pt idx="2">
                  <c:v>2.71442427934948E-2</c:v>
                </c:pt>
                <c:pt idx="3">
                  <c:v>1.7377771930080096E-2</c:v>
                </c:pt>
                <c:pt idx="4">
                  <c:v>2.8000833065877355E-2</c:v>
                </c:pt>
                <c:pt idx="5">
                  <c:v>3.5087955132399061E-2</c:v>
                </c:pt>
                <c:pt idx="6">
                  <c:v>3.393530712684479E-2</c:v>
                </c:pt>
                <c:pt idx="7">
                  <c:v>2.0837221722469889E-2</c:v>
                </c:pt>
                <c:pt idx="8">
                  <c:v>2.21296387436297E-2</c:v>
                </c:pt>
                <c:pt idx="9">
                  <c:v>2.5613734257540106E-2</c:v>
                </c:pt>
              </c:numCache>
            </c:numRef>
          </c:val>
          <c:extLst>
            <c:ext xmlns:c16="http://schemas.microsoft.com/office/drawing/2014/chart" uri="{C3380CC4-5D6E-409C-BE32-E72D297353CC}">
              <c16:uniqueId val="{00000001-5AC2-4DA2-8178-61FB374967D8}"/>
            </c:ext>
          </c:extLst>
        </c:ser>
        <c:ser>
          <c:idx val="2"/>
          <c:order val="2"/>
          <c:tx>
            <c:strRef>
              <c:f>'Area VIIa nephrops o250kW'!$C$94</c:f>
              <c:strCache>
                <c:ptCount val="1"/>
                <c:pt idx="0">
                  <c:v>Les. Spot. Dog</c:v>
                </c:pt>
              </c:strCache>
            </c:strRef>
          </c:tx>
          <c:spPr>
            <a:solidFill>
              <a:srgbClr val="648C2E"/>
            </a:solidFill>
            <a:ln>
              <a:solidFill>
                <a:srgbClr val="FFFFFF"/>
              </a:solidFill>
            </a:ln>
          </c:spPr>
          <c:invertIfNegative val="0"/>
          <c:cat>
            <c:numRef>
              <c:f>'Area VIIa nephrops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o250kW'!$D$94:$M$94</c:f>
              <c:numCache>
                <c:formatCode>0%</c:formatCode>
                <c:ptCount val="10"/>
                <c:pt idx="8">
                  <c:v>1.3112109127127163E-2</c:v>
                </c:pt>
                <c:pt idx="9">
                  <c:v>1.0014697986738022E-2</c:v>
                </c:pt>
              </c:numCache>
            </c:numRef>
          </c:val>
          <c:extLst>
            <c:ext xmlns:c16="http://schemas.microsoft.com/office/drawing/2014/chart" uri="{C3380CC4-5D6E-409C-BE32-E72D297353CC}">
              <c16:uniqueId val="{00000002-5AC2-4DA2-8178-61FB374967D8}"/>
            </c:ext>
          </c:extLst>
        </c:ser>
        <c:ser>
          <c:idx val="3"/>
          <c:order val="3"/>
          <c:tx>
            <c:strRef>
              <c:f>'Area VIIa nephrops o250kW'!$C$95</c:f>
              <c:strCache>
                <c:ptCount val="1"/>
                <c:pt idx="0">
                  <c:v>Haddock</c:v>
                </c:pt>
              </c:strCache>
            </c:strRef>
          </c:tx>
          <c:spPr>
            <a:solidFill>
              <a:srgbClr val="C1D119"/>
            </a:solidFill>
            <a:ln>
              <a:solidFill>
                <a:srgbClr val="FFFFFF"/>
              </a:solidFill>
            </a:ln>
          </c:spPr>
          <c:invertIfNegative val="0"/>
          <c:cat>
            <c:numRef>
              <c:f>'Area VIIa nephrops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o250kW'!$D$95:$M$95</c:f>
              <c:numCache>
                <c:formatCode>0%</c:formatCode>
                <c:ptCount val="10"/>
                <c:pt idx="0">
                  <c:v>5.5015256004481549E-3</c:v>
                </c:pt>
                <c:pt idx="1">
                  <c:v>1.5225513977781598E-2</c:v>
                </c:pt>
                <c:pt idx="2">
                  <c:v>1.2621824392172899E-2</c:v>
                </c:pt>
                <c:pt idx="3">
                  <c:v>2.4752147455914617E-2</c:v>
                </c:pt>
                <c:pt idx="4">
                  <c:v>2.9597221565859561E-2</c:v>
                </c:pt>
                <c:pt idx="5">
                  <c:v>2.3901124404744904E-2</c:v>
                </c:pt>
                <c:pt idx="6">
                  <c:v>3.2961328987526184E-2</c:v>
                </c:pt>
                <c:pt idx="7">
                  <c:v>1.945415772381268E-2</c:v>
                </c:pt>
                <c:pt idx="8">
                  <c:v>1.0641962547819343E-2</c:v>
                </c:pt>
                <c:pt idx="9">
                  <c:v>7.8235822334641568E-3</c:v>
                </c:pt>
              </c:numCache>
            </c:numRef>
          </c:val>
          <c:extLst>
            <c:ext xmlns:c16="http://schemas.microsoft.com/office/drawing/2014/chart" uri="{C3380CC4-5D6E-409C-BE32-E72D297353CC}">
              <c16:uniqueId val="{00000003-5AC2-4DA2-8178-61FB374967D8}"/>
            </c:ext>
          </c:extLst>
        </c:ser>
        <c:ser>
          <c:idx val="4"/>
          <c:order val="4"/>
          <c:tx>
            <c:strRef>
              <c:f>'Area VIIa nephrops o250kW'!$C$96</c:f>
              <c:strCache>
                <c:ptCount val="1"/>
                <c:pt idx="0">
                  <c:v>Cod</c:v>
                </c:pt>
              </c:strCache>
            </c:strRef>
          </c:tx>
          <c:spPr>
            <a:solidFill>
              <a:srgbClr val="E84A38"/>
            </a:solidFill>
            <a:ln>
              <a:solidFill>
                <a:srgbClr val="FFFFFF"/>
              </a:solidFill>
            </a:ln>
          </c:spPr>
          <c:invertIfNegative val="0"/>
          <c:cat>
            <c:numRef>
              <c:f>'Area VIIa nephrops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o250kW'!$D$96:$M$96</c:f>
              <c:numCache>
                <c:formatCode>0%</c:formatCode>
                <c:ptCount val="10"/>
                <c:pt idx="0">
                  <c:v>1.9648756717777726E-2</c:v>
                </c:pt>
                <c:pt idx="1">
                  <c:v>2.5935553367110113E-2</c:v>
                </c:pt>
                <c:pt idx="2">
                  <c:v>1.7462817663215741E-2</c:v>
                </c:pt>
                <c:pt idx="7">
                  <c:v>6.9360240115864764E-3</c:v>
                </c:pt>
                <c:pt idx="8">
                  <c:v>7.8608478907203731E-3</c:v>
                </c:pt>
              </c:numCache>
            </c:numRef>
          </c:val>
          <c:extLst>
            <c:ext xmlns:c16="http://schemas.microsoft.com/office/drawing/2014/chart" uri="{C3380CC4-5D6E-409C-BE32-E72D297353CC}">
              <c16:uniqueId val="{00000004-5AC2-4DA2-8178-61FB374967D8}"/>
            </c:ext>
          </c:extLst>
        </c:ser>
        <c:ser>
          <c:idx val="5"/>
          <c:order val="5"/>
          <c:tx>
            <c:strRef>
              <c:f>'Area VIIa nephrops o250kW'!$C$97</c:f>
              <c:strCache>
                <c:ptCount val="1"/>
                <c:pt idx="0">
                  <c:v>Sole</c:v>
                </c:pt>
              </c:strCache>
            </c:strRef>
          </c:tx>
          <c:spPr>
            <a:solidFill>
              <a:srgbClr val="0F9AA9"/>
            </a:solidFill>
            <a:ln>
              <a:solidFill>
                <a:srgbClr val="FFFFFF"/>
              </a:solidFill>
            </a:ln>
          </c:spPr>
          <c:invertIfNegative val="0"/>
          <c:cat>
            <c:numRef>
              <c:f>'Area VIIa nephrops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o250kW'!$D$97:$M$97</c:f>
              <c:numCache>
                <c:formatCode>0%</c:formatCode>
                <c:ptCount val="10"/>
                <c:pt idx="9">
                  <c:v>7.9019698916534889E-3</c:v>
                </c:pt>
              </c:numCache>
            </c:numRef>
          </c:val>
          <c:extLst>
            <c:ext xmlns:c16="http://schemas.microsoft.com/office/drawing/2014/chart" uri="{C3380CC4-5D6E-409C-BE32-E72D297353CC}">
              <c16:uniqueId val="{00000005-5AC2-4DA2-8178-61FB374967D8}"/>
            </c:ext>
          </c:extLst>
        </c:ser>
        <c:ser>
          <c:idx val="6"/>
          <c:order val="6"/>
          <c:tx>
            <c:strRef>
              <c:f>'Area VIIa nephrops o250kW'!$C$98</c:f>
              <c:strCache>
                <c:ptCount val="1"/>
                <c:pt idx="0">
                  <c:v>Cuttlefish</c:v>
                </c:pt>
              </c:strCache>
            </c:strRef>
          </c:tx>
          <c:spPr>
            <a:solidFill>
              <a:srgbClr val="FED825"/>
            </a:solidFill>
            <a:ln>
              <a:solidFill>
                <a:srgbClr val="FFFFFF"/>
              </a:solidFill>
            </a:ln>
          </c:spPr>
          <c:invertIfNegative val="0"/>
          <c:cat>
            <c:numRef>
              <c:f>'Area VIIa nephrops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o250kW'!$D$98:$M$98</c:f>
              <c:numCache>
                <c:formatCode>0%</c:formatCode>
                <c:ptCount val="10"/>
                <c:pt idx="5">
                  <c:v>1.4121946165090427E-2</c:v>
                </c:pt>
                <c:pt idx="6">
                  <c:v>1.8621805524161972E-2</c:v>
                </c:pt>
                <c:pt idx="7">
                  <c:v>8.2859654031980506E-3</c:v>
                </c:pt>
              </c:numCache>
            </c:numRef>
          </c:val>
          <c:extLst>
            <c:ext xmlns:c16="http://schemas.microsoft.com/office/drawing/2014/chart" uri="{C3380CC4-5D6E-409C-BE32-E72D297353CC}">
              <c16:uniqueId val="{00000006-5AC2-4DA2-8178-61FB374967D8}"/>
            </c:ext>
          </c:extLst>
        </c:ser>
        <c:ser>
          <c:idx val="7"/>
          <c:order val="7"/>
          <c:tx>
            <c:strRef>
              <c:f>'Area VIIa nephrops o250kW'!$C$99</c:f>
              <c:strCache>
                <c:ptCount val="1"/>
                <c:pt idx="0">
                  <c:v>Squid</c:v>
                </c:pt>
              </c:strCache>
            </c:strRef>
          </c:tx>
          <c:spPr>
            <a:solidFill>
              <a:srgbClr val="707271"/>
            </a:solidFill>
            <a:ln>
              <a:solidFill>
                <a:srgbClr val="FFFFFF"/>
              </a:solidFill>
            </a:ln>
          </c:spPr>
          <c:invertIfNegative val="0"/>
          <c:cat>
            <c:numRef>
              <c:f>'Area VIIa nephrops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o250kW'!$D$99:$M$99</c:f>
              <c:numCache>
                <c:formatCode>0%</c:formatCode>
                <c:ptCount val="10"/>
                <c:pt idx="6">
                  <c:v>9.5386663454149808E-3</c:v>
                </c:pt>
              </c:numCache>
            </c:numRef>
          </c:val>
          <c:extLst>
            <c:ext xmlns:c16="http://schemas.microsoft.com/office/drawing/2014/chart" uri="{C3380CC4-5D6E-409C-BE32-E72D297353CC}">
              <c16:uniqueId val="{00000007-5AC2-4DA2-8178-61FB374967D8}"/>
            </c:ext>
          </c:extLst>
        </c:ser>
        <c:ser>
          <c:idx val="8"/>
          <c:order val="8"/>
          <c:tx>
            <c:strRef>
              <c:f>'Area VIIa nephrops o250kW'!$C$100</c:f>
              <c:strCache>
                <c:ptCount val="1"/>
                <c:pt idx="0">
                  <c:v>Brill</c:v>
                </c:pt>
              </c:strCache>
            </c:strRef>
          </c:tx>
          <c:spPr>
            <a:solidFill>
              <a:srgbClr val="51AA81"/>
            </a:solidFill>
            <a:ln>
              <a:solidFill>
                <a:srgbClr val="FFFFFF"/>
              </a:solidFill>
            </a:ln>
          </c:spPr>
          <c:invertIfNegative val="0"/>
          <c:cat>
            <c:numRef>
              <c:f>'Area VIIa nephrops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o250kW'!$D$100:$M$100</c:f>
              <c:numCache>
                <c:formatCode>0%</c:formatCode>
                <c:ptCount val="10"/>
                <c:pt idx="5">
                  <c:v>6.2232000072146984E-3</c:v>
                </c:pt>
              </c:numCache>
            </c:numRef>
          </c:val>
          <c:extLst>
            <c:ext xmlns:c16="http://schemas.microsoft.com/office/drawing/2014/chart" uri="{C3380CC4-5D6E-409C-BE32-E72D297353CC}">
              <c16:uniqueId val="{00000008-5AC2-4DA2-8178-61FB374967D8}"/>
            </c:ext>
          </c:extLst>
        </c:ser>
        <c:ser>
          <c:idx val="9"/>
          <c:order val="9"/>
          <c:tx>
            <c:strRef>
              <c:f>'Area VIIa nephrops o250kW'!$C$101</c:f>
              <c:strCache>
                <c:ptCount val="1"/>
                <c:pt idx="0">
                  <c:v>Thornback Ray</c:v>
                </c:pt>
              </c:strCache>
            </c:strRef>
          </c:tx>
          <c:spPr>
            <a:solidFill>
              <a:srgbClr val="169FDB"/>
            </a:solidFill>
            <a:ln>
              <a:solidFill>
                <a:srgbClr val="FFFFFF"/>
              </a:solidFill>
            </a:ln>
          </c:spPr>
          <c:invertIfNegative val="0"/>
          <c:cat>
            <c:numRef>
              <c:f>'Area VIIa nephrops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o250kW'!$D$101:$M$101</c:f>
              <c:numCache>
                <c:formatCode>0%</c:formatCode>
                <c:ptCount val="10"/>
                <c:pt idx="2">
                  <c:v>7.5468996857039417E-3</c:v>
                </c:pt>
                <c:pt idx="3">
                  <c:v>6.775669790932505E-3</c:v>
                </c:pt>
                <c:pt idx="4">
                  <c:v>3.9677060858814752E-3</c:v>
                </c:pt>
              </c:numCache>
            </c:numRef>
          </c:val>
          <c:extLst>
            <c:ext xmlns:c16="http://schemas.microsoft.com/office/drawing/2014/chart" uri="{C3380CC4-5D6E-409C-BE32-E72D297353CC}">
              <c16:uniqueId val="{00000009-5AC2-4DA2-8178-61FB374967D8}"/>
            </c:ext>
          </c:extLst>
        </c:ser>
        <c:ser>
          <c:idx val="10"/>
          <c:order val="10"/>
          <c:tx>
            <c:strRef>
              <c:f>'Area VIIa nephrops o250kW'!$C$102</c:f>
              <c:strCache>
                <c:ptCount val="1"/>
                <c:pt idx="0">
                  <c:v>Turbot</c:v>
                </c:pt>
              </c:strCache>
            </c:strRef>
          </c:tx>
          <c:spPr>
            <a:solidFill>
              <a:srgbClr val="E40D2C"/>
            </a:solidFill>
            <a:ln>
              <a:solidFill>
                <a:srgbClr val="FFFFFF"/>
              </a:solidFill>
            </a:ln>
          </c:spPr>
          <c:invertIfNegative val="0"/>
          <c:cat>
            <c:numRef>
              <c:f>'Area VIIa nephrops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o250kW'!$D$102:$M$102</c:f>
              <c:numCache>
                <c:formatCode>0%</c:formatCode>
                <c:ptCount val="10"/>
                <c:pt idx="4">
                  <c:v>3.9395607001544222E-3</c:v>
                </c:pt>
              </c:numCache>
            </c:numRef>
          </c:val>
          <c:extLst>
            <c:ext xmlns:c16="http://schemas.microsoft.com/office/drawing/2014/chart" uri="{C3380CC4-5D6E-409C-BE32-E72D297353CC}">
              <c16:uniqueId val="{0000000A-5AC2-4DA2-8178-61FB374967D8}"/>
            </c:ext>
          </c:extLst>
        </c:ser>
        <c:ser>
          <c:idx val="11"/>
          <c:order val="11"/>
          <c:tx>
            <c:strRef>
              <c:f>'Area VIIa nephrops o250kW'!$C$103</c:f>
              <c:strCache>
                <c:ptCount val="1"/>
                <c:pt idx="0">
                  <c:v>Hake</c:v>
                </c:pt>
              </c:strCache>
            </c:strRef>
          </c:tx>
          <c:spPr>
            <a:solidFill>
              <a:srgbClr val="B4C3E5"/>
            </a:solidFill>
            <a:ln>
              <a:solidFill>
                <a:srgbClr val="FFFFFF"/>
              </a:solidFill>
            </a:ln>
          </c:spPr>
          <c:invertIfNegative val="0"/>
          <c:cat>
            <c:numRef>
              <c:f>'Area VIIa nephrops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o250kW'!$D$103:$M$103</c:f>
              <c:numCache>
                <c:formatCode>0%</c:formatCode>
                <c:ptCount val="10"/>
                <c:pt idx="3">
                  <c:v>1.3695671589830297E-2</c:v>
                </c:pt>
              </c:numCache>
            </c:numRef>
          </c:val>
          <c:extLst>
            <c:ext xmlns:c16="http://schemas.microsoft.com/office/drawing/2014/chart" uri="{C3380CC4-5D6E-409C-BE32-E72D297353CC}">
              <c16:uniqueId val="{0000000B-5AC2-4DA2-8178-61FB374967D8}"/>
            </c:ext>
          </c:extLst>
        </c:ser>
        <c:ser>
          <c:idx val="12"/>
          <c:order val="12"/>
          <c:tx>
            <c:strRef>
              <c:f>'Area VIIa nephrops o250kW'!$C$104</c:f>
              <c:strCache>
                <c:ptCount val="1"/>
                <c:pt idx="0">
                  <c:v>Queen Scallops</c:v>
                </c:pt>
              </c:strCache>
            </c:strRef>
          </c:tx>
          <c:spPr>
            <a:solidFill>
              <a:srgbClr val="F8CBA1"/>
            </a:solidFill>
            <a:ln>
              <a:solidFill>
                <a:srgbClr val="FFFFFF"/>
              </a:solidFill>
            </a:ln>
          </c:spPr>
          <c:invertIfNegative val="0"/>
          <c:cat>
            <c:numRef>
              <c:f>'Area VIIa nephrops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o250kW'!$D$104:$M$104</c:f>
              <c:numCache>
                <c:formatCode>0%</c:formatCode>
                <c:ptCount val="10"/>
                <c:pt idx="0">
                  <c:v>1.1484122854679151E-2</c:v>
                </c:pt>
                <c:pt idx="1">
                  <c:v>1.2099713190350038E-2</c:v>
                </c:pt>
              </c:numCache>
            </c:numRef>
          </c:val>
          <c:extLst>
            <c:ext xmlns:c16="http://schemas.microsoft.com/office/drawing/2014/chart" uri="{C3380CC4-5D6E-409C-BE32-E72D297353CC}">
              <c16:uniqueId val="{0000000C-5AC2-4DA2-8178-61FB374967D8}"/>
            </c:ext>
          </c:extLst>
        </c:ser>
        <c:ser>
          <c:idx val="13"/>
          <c:order val="13"/>
          <c:tx>
            <c:strRef>
              <c:f>'Area VIIa nephrops o250kW'!$C$105</c:f>
              <c:strCache>
                <c:ptCount val="1"/>
                <c:pt idx="0">
                  <c:v>Others</c:v>
                </c:pt>
              </c:strCache>
            </c:strRef>
          </c:tx>
          <c:spPr>
            <a:solidFill>
              <a:srgbClr val="55585A"/>
            </a:solidFill>
            <a:ln>
              <a:solidFill>
                <a:srgbClr val="FFFFFF"/>
              </a:solidFill>
            </a:ln>
          </c:spPr>
          <c:invertIfNegative val="0"/>
          <c:cat>
            <c:numRef>
              <c:f>'Area VIIa nephrops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o250kW'!$D$105:$M$105</c:f>
              <c:numCache>
                <c:formatCode>0%</c:formatCode>
                <c:ptCount val="10"/>
                <c:pt idx="0">
                  <c:v>3.7952347770190027E-2</c:v>
                </c:pt>
                <c:pt idx="1">
                  <c:v>6.2358374590583139E-2</c:v>
                </c:pt>
                <c:pt idx="2">
                  <c:v>3.9992194668670641E-2</c:v>
                </c:pt>
                <c:pt idx="3">
                  <c:v>3.2011647243921131E-2</c:v>
                </c:pt>
                <c:pt idx="4">
                  <c:v>2.6281830767625858E-2</c:v>
                </c:pt>
                <c:pt idx="5">
                  <c:v>2.8948020987205329E-2</c:v>
                </c:pt>
                <c:pt idx="6">
                  <c:v>5.1702127843987131E-2</c:v>
                </c:pt>
                <c:pt idx="7">
                  <c:v>2.790741721062364E-2</c:v>
                </c:pt>
                <c:pt idx="8">
                  <c:v>2.2843154783360256E-2</c:v>
                </c:pt>
                <c:pt idx="9">
                  <c:v>2.6161938772136059E-2</c:v>
                </c:pt>
              </c:numCache>
            </c:numRef>
          </c:val>
          <c:extLst>
            <c:ext xmlns:c16="http://schemas.microsoft.com/office/drawing/2014/chart" uri="{C3380CC4-5D6E-409C-BE32-E72D297353CC}">
              <c16:uniqueId val="{0000000D-5AC2-4DA2-8178-61FB374967D8}"/>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u300kW'!$K$62</c:f>
          <c:strCache>
            <c:ptCount val="1"/>
            <c:pt idx="0">
              <c:v>Average annual operating profit per vessel (£'000)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37CF-4226-8F90-FD264CA26FF3}"/>
              </c:ext>
            </c:extLst>
          </c:dPt>
          <c:dPt>
            <c:idx val="10"/>
            <c:bubble3D val="0"/>
            <c:spPr>
              <a:ln w="57150">
                <a:solidFill>
                  <a:schemeClr val="accent5"/>
                </a:solidFill>
                <a:prstDash val="sysDot"/>
              </a:ln>
            </c:spPr>
            <c:extLst>
              <c:ext xmlns:c16="http://schemas.microsoft.com/office/drawing/2014/chart" uri="{C3380CC4-5D6E-409C-BE32-E72D297353CC}">
                <c16:uniqueId val="{00000003-37CF-4226-8F90-FD264CA26FF3}"/>
              </c:ext>
            </c:extLst>
          </c:dPt>
          <c:cat>
            <c:numRef>
              <c:f>'NSWOS demersal u24m u300kW'!$D$2:$M$2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'NSWOS demersal u24m u300kW'!$D$37:$N$37</c:f>
              <c:numCache>
                <c:formatCode>#,##0.0</c:formatCode>
                <c:ptCount val="11"/>
                <c:pt idx="0">
                  <c:v>83.2</c:v>
                </c:pt>
                <c:pt idx="1">
                  <c:v>56.2</c:v>
                </c:pt>
                <c:pt idx="2">
                  <c:v>52.4</c:v>
                </c:pt>
                <c:pt idx="3">
                  <c:v>34.9</c:v>
                </c:pt>
                <c:pt idx="4">
                  <c:v>36.200000000000003</c:v>
                </c:pt>
                <c:pt idx="5">
                  <c:v>59.8</c:v>
                </c:pt>
                <c:pt idx="6">
                  <c:v>99.3</c:v>
                </c:pt>
                <c:pt idx="7">
                  <c:v>54.3</c:v>
                </c:pt>
                <c:pt idx="8">
                  <c:v>55.1</c:v>
                </c:pt>
                <c:pt idx="9">
                  <c:v>63.8</c:v>
                </c:pt>
                <c:pt idx="10">
                  <c:v>29.2</c:v>
                </c:pt>
              </c:numCache>
            </c:numRef>
          </c:val>
          <c:smooth val="0"/>
          <c:extLst>
            <c:ext xmlns:c16="http://schemas.microsoft.com/office/drawing/2014/chart" uri="{C3380CC4-5D6E-409C-BE32-E72D297353CC}">
              <c16:uniqueId val="{00000004-37CF-4226-8F90-FD264CA26FF3}"/>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u300kW'!$A$76</c:f>
          <c:strCache>
            <c:ptCount val="1"/>
            <c:pt idx="0">
              <c:v>Top 5 landed species by volume in 2020
NSWOS demersal under 24m under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C1D119"/>
              </a:solidFill>
              <a:ln>
                <a:solidFill>
                  <a:srgbClr val="FFFFFF"/>
                </a:solidFill>
              </a:ln>
            </c:spPr>
            <c:extLst>
              <c:ext xmlns:c16="http://schemas.microsoft.com/office/drawing/2014/chart" uri="{C3380CC4-5D6E-409C-BE32-E72D297353CC}">
                <c16:uniqueId val="{00000001-E85F-4920-9848-76EBC2376441}"/>
              </c:ext>
            </c:extLst>
          </c:dPt>
          <c:dPt>
            <c:idx val="1"/>
            <c:bubble3D val="0"/>
            <c:spPr>
              <a:solidFill>
                <a:srgbClr val="2273B9"/>
              </a:solidFill>
              <a:ln>
                <a:solidFill>
                  <a:srgbClr val="FFFFFF"/>
                </a:solidFill>
              </a:ln>
            </c:spPr>
            <c:extLst>
              <c:ext xmlns:c16="http://schemas.microsoft.com/office/drawing/2014/chart" uri="{C3380CC4-5D6E-409C-BE32-E72D297353CC}">
                <c16:uniqueId val="{00000003-E85F-4920-9848-76EBC2376441}"/>
              </c:ext>
            </c:extLst>
          </c:dPt>
          <c:dPt>
            <c:idx val="2"/>
            <c:bubble3D val="0"/>
            <c:spPr>
              <a:solidFill>
                <a:srgbClr val="648C2E"/>
              </a:solidFill>
              <a:ln>
                <a:solidFill>
                  <a:srgbClr val="FFFFFF"/>
                </a:solidFill>
              </a:ln>
            </c:spPr>
            <c:extLst>
              <c:ext xmlns:c16="http://schemas.microsoft.com/office/drawing/2014/chart" uri="{C3380CC4-5D6E-409C-BE32-E72D297353CC}">
                <c16:uniqueId val="{00000005-E85F-4920-9848-76EBC2376441}"/>
              </c:ext>
            </c:extLst>
          </c:dPt>
          <c:dPt>
            <c:idx val="3"/>
            <c:bubble3D val="0"/>
            <c:spPr>
              <a:solidFill>
                <a:srgbClr val="E87308"/>
              </a:solidFill>
              <a:ln>
                <a:solidFill>
                  <a:srgbClr val="FFFFFF"/>
                </a:solidFill>
              </a:ln>
            </c:spPr>
            <c:extLst>
              <c:ext xmlns:c16="http://schemas.microsoft.com/office/drawing/2014/chart" uri="{C3380CC4-5D6E-409C-BE32-E72D297353CC}">
                <c16:uniqueId val="{00000007-E85F-4920-9848-76EBC2376441}"/>
              </c:ext>
            </c:extLst>
          </c:dPt>
          <c:dPt>
            <c:idx val="4"/>
            <c:bubble3D val="0"/>
            <c:spPr>
              <a:solidFill>
                <a:srgbClr val="0F9AA9"/>
              </a:solidFill>
              <a:ln>
                <a:solidFill>
                  <a:srgbClr val="FFFFFF"/>
                </a:solidFill>
              </a:ln>
            </c:spPr>
            <c:extLst>
              <c:ext xmlns:c16="http://schemas.microsoft.com/office/drawing/2014/chart" uri="{C3380CC4-5D6E-409C-BE32-E72D297353CC}">
                <c16:uniqueId val="{00000009-E85F-4920-9848-76EBC2376441}"/>
              </c:ext>
            </c:extLst>
          </c:dPt>
          <c:dPt>
            <c:idx val="5"/>
            <c:bubble3D val="0"/>
            <c:spPr>
              <a:solidFill>
                <a:srgbClr val="55585A"/>
              </a:solidFill>
              <a:ln>
                <a:solidFill>
                  <a:srgbClr val="FFFFFF"/>
                </a:solidFill>
              </a:ln>
            </c:spPr>
            <c:extLst>
              <c:ext xmlns:c16="http://schemas.microsoft.com/office/drawing/2014/chart" uri="{C3380CC4-5D6E-409C-BE32-E72D297353CC}">
                <c16:uniqueId val="{0000000B-E85F-4920-9848-76EBC2376441}"/>
              </c:ext>
            </c:extLst>
          </c:dPt>
          <c:cat>
            <c:strRef>
              <c:f>'NSWOS demersal u24m u300kW'!$B$77:$B$82</c:f>
              <c:strCache>
                <c:ptCount val="6"/>
                <c:pt idx="0">
                  <c:v>Haddock - 21.4%</c:v>
                </c:pt>
                <c:pt idx="1">
                  <c:v>Anglerfish - 18.0%</c:v>
                </c:pt>
                <c:pt idx="2">
                  <c:v>Cod - 11.3%</c:v>
                </c:pt>
                <c:pt idx="3">
                  <c:v>Squid - 8.1%</c:v>
                </c:pt>
                <c:pt idx="4">
                  <c:v>Whiting - 7.1%</c:v>
                </c:pt>
                <c:pt idx="5">
                  <c:v>Others - 34.1%</c:v>
                </c:pt>
              </c:strCache>
            </c:strRef>
          </c:cat>
          <c:val>
            <c:numRef>
              <c:f>'NSWOS demersal u24m u300kW'!$C$77:$C$82</c:f>
              <c:numCache>
                <c:formatCode>0.0%</c:formatCode>
                <c:ptCount val="6"/>
                <c:pt idx="0">
                  <c:v>0.21391125653109333</c:v>
                </c:pt>
                <c:pt idx="1">
                  <c:v>0.17994218251511113</c:v>
                </c:pt>
                <c:pt idx="2">
                  <c:v>0.11277359307813407</c:v>
                </c:pt>
                <c:pt idx="3">
                  <c:v>8.1061751205494401E-2</c:v>
                </c:pt>
                <c:pt idx="4">
                  <c:v>7.1127917012399844E-2</c:v>
                </c:pt>
                <c:pt idx="5">
                  <c:v>0.34118329965776717</c:v>
                </c:pt>
              </c:numCache>
            </c:numRef>
          </c:val>
          <c:extLst>
            <c:ext xmlns:c16="http://schemas.microsoft.com/office/drawing/2014/chart" uri="{C3380CC4-5D6E-409C-BE32-E72D297353CC}">
              <c16:uniqueId val="{0000000C-E85F-4920-9848-76EBC2376441}"/>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u300kW'!$F$76</c:f>
          <c:strCache>
            <c:ptCount val="1"/>
            <c:pt idx="0">
              <c:v>Top 5 landed species by value in 2020
NSWOS demersal under 24m under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B13F-406D-9FF5-C42D9DBD653D}"/>
              </c:ext>
            </c:extLst>
          </c:dPt>
          <c:dPt>
            <c:idx val="1"/>
            <c:bubble3D val="0"/>
            <c:spPr>
              <a:solidFill>
                <a:srgbClr val="E87308"/>
              </a:solidFill>
              <a:ln>
                <a:solidFill>
                  <a:srgbClr val="FFFFFF"/>
                </a:solidFill>
              </a:ln>
            </c:spPr>
            <c:extLst>
              <c:ext xmlns:c16="http://schemas.microsoft.com/office/drawing/2014/chart" uri="{C3380CC4-5D6E-409C-BE32-E72D297353CC}">
                <c16:uniqueId val="{00000003-B13F-406D-9FF5-C42D9DBD653D}"/>
              </c:ext>
            </c:extLst>
          </c:dPt>
          <c:dPt>
            <c:idx val="2"/>
            <c:bubble3D val="0"/>
            <c:spPr>
              <a:solidFill>
                <a:srgbClr val="648C2E"/>
              </a:solidFill>
              <a:ln>
                <a:solidFill>
                  <a:srgbClr val="FFFFFF"/>
                </a:solidFill>
              </a:ln>
            </c:spPr>
            <c:extLst>
              <c:ext xmlns:c16="http://schemas.microsoft.com/office/drawing/2014/chart" uri="{C3380CC4-5D6E-409C-BE32-E72D297353CC}">
                <c16:uniqueId val="{00000005-B13F-406D-9FF5-C42D9DBD653D}"/>
              </c:ext>
            </c:extLst>
          </c:dPt>
          <c:dPt>
            <c:idx val="3"/>
            <c:bubble3D val="0"/>
            <c:spPr>
              <a:solidFill>
                <a:srgbClr val="C1D119"/>
              </a:solidFill>
              <a:ln>
                <a:solidFill>
                  <a:srgbClr val="FFFFFF"/>
                </a:solidFill>
              </a:ln>
            </c:spPr>
            <c:extLst>
              <c:ext xmlns:c16="http://schemas.microsoft.com/office/drawing/2014/chart" uri="{C3380CC4-5D6E-409C-BE32-E72D297353CC}">
                <c16:uniqueId val="{00000007-B13F-406D-9FF5-C42D9DBD653D}"/>
              </c:ext>
            </c:extLst>
          </c:dPt>
          <c:dPt>
            <c:idx val="4"/>
            <c:bubble3D val="0"/>
            <c:spPr>
              <a:solidFill>
                <a:srgbClr val="E84A38"/>
              </a:solidFill>
              <a:ln>
                <a:solidFill>
                  <a:srgbClr val="FFFFFF"/>
                </a:solidFill>
              </a:ln>
            </c:spPr>
            <c:extLst>
              <c:ext xmlns:c16="http://schemas.microsoft.com/office/drawing/2014/chart" uri="{C3380CC4-5D6E-409C-BE32-E72D297353CC}">
                <c16:uniqueId val="{00000009-B13F-406D-9FF5-C42D9DBD653D}"/>
              </c:ext>
            </c:extLst>
          </c:dPt>
          <c:dPt>
            <c:idx val="5"/>
            <c:bubble3D val="0"/>
            <c:spPr>
              <a:solidFill>
                <a:srgbClr val="55585A"/>
              </a:solidFill>
              <a:ln>
                <a:solidFill>
                  <a:srgbClr val="FFFFFF"/>
                </a:solidFill>
              </a:ln>
            </c:spPr>
            <c:extLst>
              <c:ext xmlns:c16="http://schemas.microsoft.com/office/drawing/2014/chart" uri="{C3380CC4-5D6E-409C-BE32-E72D297353CC}">
                <c16:uniqueId val="{0000000B-B13F-406D-9FF5-C42D9DBD653D}"/>
              </c:ext>
            </c:extLst>
          </c:dPt>
          <c:cat>
            <c:strRef>
              <c:f>'NSWOS demersal u24m u300kW'!$G$77:$G$82</c:f>
              <c:strCache>
                <c:ptCount val="6"/>
                <c:pt idx="0">
                  <c:v>Anglerfish - 22.1%</c:v>
                </c:pt>
                <c:pt idx="1">
                  <c:v>Squid - 18.2%</c:v>
                </c:pt>
                <c:pt idx="2">
                  <c:v>Cod - 14.0%</c:v>
                </c:pt>
                <c:pt idx="3">
                  <c:v>Haddock - 11.8%</c:v>
                </c:pt>
                <c:pt idx="4">
                  <c:v>Megrim - 7.1%</c:v>
                </c:pt>
                <c:pt idx="5">
                  <c:v>Others - 26.8%</c:v>
                </c:pt>
              </c:strCache>
            </c:strRef>
          </c:cat>
          <c:val>
            <c:numRef>
              <c:f>'NSWOS demersal u24m u300kW'!$H$77:$H$82</c:f>
              <c:numCache>
                <c:formatCode>0.0%</c:formatCode>
                <c:ptCount val="6"/>
                <c:pt idx="0">
                  <c:v>0.22051129792584342</c:v>
                </c:pt>
                <c:pt idx="1">
                  <c:v>0.18209225903581183</c:v>
                </c:pt>
                <c:pt idx="2">
                  <c:v>0.13970170260795708</c:v>
                </c:pt>
                <c:pt idx="3">
                  <c:v>0.11847919609627468</c:v>
                </c:pt>
                <c:pt idx="4">
                  <c:v>7.1384950056998589E-2</c:v>
                </c:pt>
                <c:pt idx="5">
                  <c:v>0.26783059427711431</c:v>
                </c:pt>
              </c:numCache>
            </c:numRef>
          </c:val>
          <c:extLst>
            <c:ext xmlns:c16="http://schemas.microsoft.com/office/drawing/2014/chart" uri="{C3380CC4-5D6E-409C-BE32-E72D297353CC}">
              <c16:uniqueId val="{0000000C-B13F-406D-9FF5-C42D9DBD653D}"/>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u300kW'!$K$77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demersal u24m u300kW'!$C$92</c:f>
              <c:strCache>
                <c:ptCount val="1"/>
                <c:pt idx="0">
                  <c:v>Anglerfish</c:v>
                </c:pt>
              </c:strCache>
            </c:strRef>
          </c:tx>
          <c:spPr>
            <a:solidFill>
              <a:srgbClr val="2273B9"/>
            </a:solidFill>
            <a:ln>
              <a:solidFill>
                <a:srgbClr val="FFFFFF"/>
              </a:solidFill>
            </a:ln>
          </c:spPr>
          <c:invertIfNegative val="0"/>
          <c:cat>
            <c:numRef>
              <c:f>'NSWOS demersal u24m u300kW'!$D$91:$M$91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u300kW'!$D$92:$M$92</c:f>
              <c:numCache>
                <c:formatCode>0%</c:formatCode>
                <c:ptCount val="10"/>
                <c:pt idx="0">
                  <c:v>7.8296798796444064E-2</c:v>
                </c:pt>
                <c:pt idx="1">
                  <c:v>7.1301246393641507E-2</c:v>
                </c:pt>
                <c:pt idx="2">
                  <c:v>0.14885821576618885</c:v>
                </c:pt>
                <c:pt idx="3">
                  <c:v>0.17859290264909811</c:v>
                </c:pt>
                <c:pt idx="4">
                  <c:v>0.29369838777206653</c:v>
                </c:pt>
                <c:pt idx="5">
                  <c:v>0.24433622837859051</c:v>
                </c:pt>
                <c:pt idx="6">
                  <c:v>0.18801928809843649</c:v>
                </c:pt>
                <c:pt idx="7">
                  <c:v>0.11662118107356652</c:v>
                </c:pt>
                <c:pt idx="8">
                  <c:v>0.22051129792584342</c:v>
                </c:pt>
                <c:pt idx="9">
                  <c:v>0.30545862689541992</c:v>
                </c:pt>
              </c:numCache>
            </c:numRef>
          </c:val>
          <c:extLst>
            <c:ext xmlns:c16="http://schemas.microsoft.com/office/drawing/2014/chart" uri="{C3380CC4-5D6E-409C-BE32-E72D297353CC}">
              <c16:uniqueId val="{00000000-DA5F-4980-9801-79FD1576993C}"/>
            </c:ext>
          </c:extLst>
        </c:ser>
        <c:ser>
          <c:idx val="1"/>
          <c:order val="1"/>
          <c:tx>
            <c:strRef>
              <c:f>'NSWOS demersal u24m u300kW'!$C$93</c:f>
              <c:strCache>
                <c:ptCount val="1"/>
                <c:pt idx="0">
                  <c:v>Squid</c:v>
                </c:pt>
              </c:strCache>
            </c:strRef>
          </c:tx>
          <c:spPr>
            <a:solidFill>
              <a:srgbClr val="E87308"/>
            </a:solidFill>
            <a:ln>
              <a:solidFill>
                <a:srgbClr val="FFFFFF"/>
              </a:solidFill>
            </a:ln>
          </c:spPr>
          <c:invertIfNegative val="0"/>
          <c:cat>
            <c:numRef>
              <c:f>'NSWOS demersal u24m u300kW'!$D$91:$M$91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u300kW'!$D$93:$M$93</c:f>
              <c:numCache>
                <c:formatCode>0%</c:formatCode>
                <c:ptCount val="10"/>
                <c:pt idx="2">
                  <c:v>0.10670897823153228</c:v>
                </c:pt>
                <c:pt idx="3">
                  <c:v>8.3155511487980824E-2</c:v>
                </c:pt>
                <c:pt idx="4">
                  <c:v>0.15484957692255077</c:v>
                </c:pt>
                <c:pt idx="5">
                  <c:v>0.26520750286735245</c:v>
                </c:pt>
                <c:pt idx="6">
                  <c:v>0.2095454859916952</c:v>
                </c:pt>
                <c:pt idx="7">
                  <c:v>0.24852680380419778</c:v>
                </c:pt>
                <c:pt idx="8">
                  <c:v>0.18209225903581183</c:v>
                </c:pt>
                <c:pt idx="9">
                  <c:v>0.1222685159990223</c:v>
                </c:pt>
              </c:numCache>
            </c:numRef>
          </c:val>
          <c:extLst>
            <c:ext xmlns:c16="http://schemas.microsoft.com/office/drawing/2014/chart" uri="{C3380CC4-5D6E-409C-BE32-E72D297353CC}">
              <c16:uniqueId val="{00000001-DA5F-4980-9801-79FD1576993C}"/>
            </c:ext>
          </c:extLst>
        </c:ser>
        <c:ser>
          <c:idx val="2"/>
          <c:order val="2"/>
          <c:tx>
            <c:strRef>
              <c:f>'NSWOS demersal u24m u300kW'!$C$94</c:f>
              <c:strCache>
                <c:ptCount val="1"/>
                <c:pt idx="0">
                  <c:v>Cod</c:v>
                </c:pt>
              </c:strCache>
            </c:strRef>
          </c:tx>
          <c:spPr>
            <a:solidFill>
              <a:srgbClr val="648C2E"/>
            </a:solidFill>
            <a:ln>
              <a:solidFill>
                <a:srgbClr val="FFFFFF"/>
              </a:solidFill>
            </a:ln>
          </c:spPr>
          <c:invertIfNegative val="0"/>
          <c:cat>
            <c:numRef>
              <c:f>'NSWOS demersal u24m u300kW'!$D$91:$M$91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u300kW'!$D$94:$M$94</c:f>
              <c:numCache>
                <c:formatCode>0%</c:formatCode>
                <c:ptCount val="10"/>
                <c:pt idx="3">
                  <c:v>9.6503849964573757E-2</c:v>
                </c:pt>
                <c:pt idx="4">
                  <c:v>9.8814309625166907E-2</c:v>
                </c:pt>
                <c:pt idx="5">
                  <c:v>0.11087422945020414</c:v>
                </c:pt>
                <c:pt idx="6">
                  <c:v>0.19057152569603539</c:v>
                </c:pt>
                <c:pt idx="7">
                  <c:v>0.14241570601946191</c:v>
                </c:pt>
                <c:pt idx="8">
                  <c:v>0.13970170260795708</c:v>
                </c:pt>
                <c:pt idx="9">
                  <c:v>0.1439351124110663</c:v>
                </c:pt>
              </c:numCache>
            </c:numRef>
          </c:val>
          <c:extLst>
            <c:ext xmlns:c16="http://schemas.microsoft.com/office/drawing/2014/chart" uri="{C3380CC4-5D6E-409C-BE32-E72D297353CC}">
              <c16:uniqueId val="{00000002-DA5F-4980-9801-79FD1576993C}"/>
            </c:ext>
          </c:extLst>
        </c:ser>
        <c:ser>
          <c:idx val="3"/>
          <c:order val="3"/>
          <c:tx>
            <c:strRef>
              <c:f>'NSWOS demersal u24m u300kW'!$C$95</c:f>
              <c:strCache>
                <c:ptCount val="1"/>
                <c:pt idx="0">
                  <c:v>Haddock</c:v>
                </c:pt>
              </c:strCache>
            </c:strRef>
          </c:tx>
          <c:spPr>
            <a:solidFill>
              <a:srgbClr val="C1D119"/>
            </a:solidFill>
            <a:ln>
              <a:solidFill>
                <a:srgbClr val="FFFFFF"/>
              </a:solidFill>
            </a:ln>
          </c:spPr>
          <c:invertIfNegative val="0"/>
          <c:cat>
            <c:numRef>
              <c:f>'NSWOS demersal u24m u300kW'!$D$91:$M$91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u300kW'!$D$95:$M$95</c:f>
              <c:numCache>
                <c:formatCode>0%</c:formatCode>
                <c:ptCount val="10"/>
                <c:pt idx="0">
                  <c:v>0.26421602171389363</c:v>
                </c:pt>
                <c:pt idx="1">
                  <c:v>0.30135345261119478</c:v>
                </c:pt>
                <c:pt idx="2">
                  <c:v>0.11347803515808288</c:v>
                </c:pt>
                <c:pt idx="3">
                  <c:v>0.14809808879881728</c:v>
                </c:pt>
                <c:pt idx="6">
                  <c:v>7.5465663962938495E-2</c:v>
                </c:pt>
                <c:pt idx="8">
                  <c:v>0.11847919609627468</c:v>
                </c:pt>
                <c:pt idx="9">
                  <c:v>7.010214655135262E-2</c:v>
                </c:pt>
              </c:numCache>
            </c:numRef>
          </c:val>
          <c:extLst>
            <c:ext xmlns:c16="http://schemas.microsoft.com/office/drawing/2014/chart" uri="{C3380CC4-5D6E-409C-BE32-E72D297353CC}">
              <c16:uniqueId val="{00000003-DA5F-4980-9801-79FD1576993C}"/>
            </c:ext>
          </c:extLst>
        </c:ser>
        <c:ser>
          <c:idx val="4"/>
          <c:order val="4"/>
          <c:tx>
            <c:strRef>
              <c:f>'NSWOS demersal u24m u300kW'!$C$96</c:f>
              <c:strCache>
                <c:ptCount val="1"/>
                <c:pt idx="0">
                  <c:v>Megrim</c:v>
                </c:pt>
              </c:strCache>
            </c:strRef>
          </c:tx>
          <c:spPr>
            <a:solidFill>
              <a:srgbClr val="E84A38"/>
            </a:solidFill>
            <a:ln>
              <a:solidFill>
                <a:srgbClr val="FFFFFF"/>
              </a:solidFill>
            </a:ln>
          </c:spPr>
          <c:invertIfNegative val="0"/>
          <c:cat>
            <c:numRef>
              <c:f>'NSWOS demersal u24m u300kW'!$D$91:$M$91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u300kW'!$D$96:$M$96</c:f>
              <c:numCache>
                <c:formatCode>0%</c:formatCode>
                <c:ptCount val="10"/>
                <c:pt idx="0">
                  <c:v>8.4303618569132183E-2</c:v>
                </c:pt>
                <c:pt idx="2">
                  <c:v>0.11173925024695418</c:v>
                </c:pt>
                <c:pt idx="4">
                  <c:v>0.10467888193926944</c:v>
                </c:pt>
                <c:pt idx="5">
                  <c:v>6.3765185832604265E-2</c:v>
                </c:pt>
                <c:pt idx="8">
                  <c:v>7.1384950056998589E-2</c:v>
                </c:pt>
              </c:numCache>
            </c:numRef>
          </c:val>
          <c:extLst>
            <c:ext xmlns:c16="http://schemas.microsoft.com/office/drawing/2014/chart" uri="{C3380CC4-5D6E-409C-BE32-E72D297353CC}">
              <c16:uniqueId val="{00000004-DA5F-4980-9801-79FD1576993C}"/>
            </c:ext>
          </c:extLst>
        </c:ser>
        <c:ser>
          <c:idx val="5"/>
          <c:order val="5"/>
          <c:tx>
            <c:strRef>
              <c:f>'NSWOS demersal u24m u300kW'!$C$97</c:f>
              <c:strCache>
                <c:ptCount val="1"/>
                <c:pt idx="0">
                  <c:v>Nephrops</c:v>
                </c:pt>
              </c:strCache>
            </c:strRef>
          </c:tx>
          <c:spPr>
            <a:solidFill>
              <a:srgbClr val="0F9AA9"/>
            </a:solidFill>
            <a:ln>
              <a:solidFill>
                <a:srgbClr val="FFFFFF"/>
              </a:solidFill>
            </a:ln>
          </c:spPr>
          <c:invertIfNegative val="0"/>
          <c:cat>
            <c:numRef>
              <c:f>'NSWOS demersal u24m u300kW'!$D$91:$M$91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u300kW'!$D$97:$M$97</c:f>
              <c:numCache>
                <c:formatCode>0%</c:formatCode>
                <c:ptCount val="10"/>
                <c:pt idx="0">
                  <c:v>0.14244872158976749</c:v>
                </c:pt>
                <c:pt idx="1">
                  <c:v>0.11290038431559993</c:v>
                </c:pt>
                <c:pt idx="2">
                  <c:v>9.3826731895711266E-2</c:v>
                </c:pt>
                <c:pt idx="3">
                  <c:v>0.19297668254240927</c:v>
                </c:pt>
                <c:pt idx="4">
                  <c:v>0.10651234653732483</c:v>
                </c:pt>
                <c:pt idx="5">
                  <c:v>9.9901284309703325E-2</c:v>
                </c:pt>
                <c:pt idx="6">
                  <c:v>5.7283353349581914E-2</c:v>
                </c:pt>
                <c:pt idx="7">
                  <c:v>0.13875379794776774</c:v>
                </c:pt>
                <c:pt idx="9">
                  <c:v>6.808238382113635E-2</c:v>
                </c:pt>
              </c:numCache>
            </c:numRef>
          </c:val>
          <c:extLst>
            <c:ext xmlns:c16="http://schemas.microsoft.com/office/drawing/2014/chart" uri="{C3380CC4-5D6E-409C-BE32-E72D297353CC}">
              <c16:uniqueId val="{00000005-DA5F-4980-9801-79FD1576993C}"/>
            </c:ext>
          </c:extLst>
        </c:ser>
        <c:ser>
          <c:idx val="6"/>
          <c:order val="6"/>
          <c:tx>
            <c:strRef>
              <c:f>'NSWOS demersal u24m u300kW'!$C$98</c:f>
              <c:strCache>
                <c:ptCount val="1"/>
                <c:pt idx="0">
                  <c:v>Squid</c:v>
                </c:pt>
              </c:strCache>
            </c:strRef>
          </c:tx>
          <c:spPr>
            <a:solidFill>
              <a:srgbClr val="FED825"/>
            </a:solidFill>
            <a:ln>
              <a:solidFill>
                <a:srgbClr val="FFFFFF"/>
              </a:solidFill>
            </a:ln>
          </c:spPr>
          <c:invertIfNegative val="0"/>
          <c:cat>
            <c:numRef>
              <c:f>'NSWOS demersal u24m u300kW'!$D$91:$M$91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u300kW'!$D$98:$M$98</c:f>
              <c:numCache>
                <c:formatCode>0%</c:formatCode>
                <c:ptCount val="10"/>
                <c:pt idx="7">
                  <c:v>0.10848462319826255</c:v>
                </c:pt>
              </c:numCache>
            </c:numRef>
          </c:val>
          <c:extLst>
            <c:ext xmlns:c16="http://schemas.microsoft.com/office/drawing/2014/chart" uri="{C3380CC4-5D6E-409C-BE32-E72D297353CC}">
              <c16:uniqueId val="{00000006-DA5F-4980-9801-79FD1576993C}"/>
            </c:ext>
          </c:extLst>
        </c:ser>
        <c:ser>
          <c:idx val="7"/>
          <c:order val="7"/>
          <c:tx>
            <c:strRef>
              <c:f>'NSWOS demersal u24m u300kW'!$C$99</c:f>
              <c:strCache>
                <c:ptCount val="1"/>
                <c:pt idx="0">
                  <c:v>Plaice</c:v>
                </c:pt>
              </c:strCache>
            </c:strRef>
          </c:tx>
          <c:spPr>
            <a:solidFill>
              <a:srgbClr val="707271"/>
            </a:solidFill>
            <a:ln>
              <a:solidFill>
                <a:srgbClr val="FFFFFF"/>
              </a:solidFill>
            </a:ln>
          </c:spPr>
          <c:invertIfNegative val="0"/>
          <c:cat>
            <c:numRef>
              <c:f>'NSWOS demersal u24m u300kW'!$D$91:$M$91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u300kW'!$D$99:$M$99</c:f>
              <c:numCache>
                <c:formatCode>0%</c:formatCode>
                <c:ptCount val="10"/>
                <c:pt idx="0">
                  <c:v>0.10487819437947432</c:v>
                </c:pt>
                <c:pt idx="1">
                  <c:v>8.6329339448131079E-2</c:v>
                </c:pt>
              </c:numCache>
            </c:numRef>
          </c:val>
          <c:extLst>
            <c:ext xmlns:c16="http://schemas.microsoft.com/office/drawing/2014/chart" uri="{C3380CC4-5D6E-409C-BE32-E72D297353CC}">
              <c16:uniqueId val="{00000007-DA5F-4980-9801-79FD1576993C}"/>
            </c:ext>
          </c:extLst>
        </c:ser>
        <c:ser>
          <c:idx val="8"/>
          <c:order val="8"/>
          <c:tx>
            <c:strRef>
              <c:f>'NSWOS demersal u24m u300kW'!$C$100</c:f>
              <c:strCache>
                <c:ptCount val="1"/>
                <c:pt idx="0">
                  <c:v>Whiting</c:v>
                </c:pt>
              </c:strCache>
            </c:strRef>
          </c:tx>
          <c:spPr>
            <a:solidFill>
              <a:srgbClr val="51AA81"/>
            </a:solidFill>
            <a:ln>
              <a:solidFill>
                <a:srgbClr val="FFFFFF"/>
              </a:solidFill>
            </a:ln>
          </c:spPr>
          <c:invertIfNegative val="0"/>
          <c:cat>
            <c:numRef>
              <c:f>'NSWOS demersal u24m u300kW'!$D$91:$M$91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u300kW'!$D$100:$M$100</c:f>
              <c:numCache>
                <c:formatCode>0%</c:formatCode>
                <c:ptCount val="10"/>
                <c:pt idx="1">
                  <c:v>5.3575441676922922E-2</c:v>
                </c:pt>
              </c:numCache>
            </c:numRef>
          </c:val>
          <c:extLst>
            <c:ext xmlns:c16="http://schemas.microsoft.com/office/drawing/2014/chart" uri="{C3380CC4-5D6E-409C-BE32-E72D297353CC}">
              <c16:uniqueId val="{00000008-DA5F-4980-9801-79FD1576993C}"/>
            </c:ext>
          </c:extLst>
        </c:ser>
        <c:ser>
          <c:idx val="9"/>
          <c:order val="9"/>
          <c:tx>
            <c:strRef>
              <c:f>'NSWOS demersal u24m u300kW'!$C$101</c:f>
              <c:strCache>
                <c:ptCount val="1"/>
                <c:pt idx="0">
                  <c:v>Others</c:v>
                </c:pt>
              </c:strCache>
            </c:strRef>
          </c:tx>
          <c:spPr>
            <a:solidFill>
              <a:srgbClr val="55585A"/>
            </a:solidFill>
            <a:ln>
              <a:solidFill>
                <a:srgbClr val="FFFFFF"/>
              </a:solidFill>
            </a:ln>
          </c:spPr>
          <c:invertIfNegative val="0"/>
          <c:cat>
            <c:numRef>
              <c:f>'NSWOS demersal u24m u300kW'!$D$91:$M$91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'NSWOS demersal u24m u300kW'!$D$101:$M$101</c:f>
              <c:numCache>
                <c:formatCode>0%</c:formatCode>
                <c:ptCount val="10"/>
                <c:pt idx="0">
                  <c:v>0.3258566449512883</c:v>
                </c:pt>
                <c:pt idx="1">
                  <c:v>0.37454013555450977</c:v>
                </c:pt>
                <c:pt idx="2">
                  <c:v>0.42538878870153057</c:v>
                </c:pt>
                <c:pt idx="3">
                  <c:v>0.30067296455712078</c:v>
                </c:pt>
                <c:pt idx="4">
                  <c:v>0.24144649720362149</c:v>
                </c:pt>
                <c:pt idx="5">
                  <c:v>0.21591556916154531</c:v>
                </c:pt>
                <c:pt idx="6">
                  <c:v>0.27911468290131253</c:v>
                </c:pt>
                <c:pt idx="7">
                  <c:v>0.24519788795674352</c:v>
                </c:pt>
                <c:pt idx="8">
                  <c:v>0.26783059427711436</c:v>
                </c:pt>
                <c:pt idx="9">
                  <c:v>0.29015321432200253</c:v>
                </c:pt>
              </c:numCache>
            </c:numRef>
          </c:val>
          <c:extLst>
            <c:ext xmlns:c16="http://schemas.microsoft.com/office/drawing/2014/chart" uri="{C3380CC4-5D6E-409C-BE32-E72D297353CC}">
              <c16:uniqueId val="{00000009-DA5F-4980-9801-79FD1576993C}"/>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'NSWOS demersal u24m u300kW'!$B$162</c:f>
              <c:strCache>
                <c:ptCount val="1"/>
                <c:pt idx="0">
                  <c:v>Haddock</c:v>
                </c:pt>
              </c:strCache>
            </c:strRef>
          </c:tx>
          <c:spPr>
            <a:solidFill>
              <a:srgbClr val="C1D119"/>
            </a:solidFill>
            <a:ln>
              <a:solidFill>
                <a:srgbClr val="FFFFFF"/>
              </a:solidFill>
            </a:ln>
          </c:spPr>
          <c:invertIfNegative val="0"/>
          <c:cat>
            <c:strRef>
              <c:f>'NSWOS demersal u24m u300kW'!$C$161:$E$161</c:f>
              <c:strCache>
                <c:ptCount val="3"/>
                <c:pt idx="0">
                  <c:v>Most
profitable
quartile</c:v>
                </c:pt>
                <c:pt idx="1">
                  <c:v>Middle 
two quartiles</c:v>
                </c:pt>
                <c:pt idx="2">
                  <c:v>Least
profitable
quartile</c:v>
                </c:pt>
              </c:strCache>
            </c:strRef>
          </c:cat>
          <c:val>
            <c:numRef>
              <c:f>'NSWOS demersal u24m u300kW'!$C$162:$E$162</c:f>
              <c:numCache>
                <c:formatCode>0%</c:formatCode>
                <c:ptCount val="3"/>
                <c:pt idx="0">
                  <c:v>6.7796133251169843E-2</c:v>
                </c:pt>
                <c:pt idx="1">
                  <c:v>0.30423697241954417</c:v>
                </c:pt>
                <c:pt idx="2">
                  <c:v>0.27100796442956349</c:v>
                </c:pt>
              </c:numCache>
            </c:numRef>
          </c:val>
          <c:extLst>
            <c:ext xmlns:c16="http://schemas.microsoft.com/office/drawing/2014/chart" uri="{C3380CC4-5D6E-409C-BE32-E72D297353CC}">
              <c16:uniqueId val="{00000000-69F0-4105-90EB-EC24D4CE6684}"/>
            </c:ext>
          </c:extLst>
        </c:ser>
        <c:ser>
          <c:idx val="1"/>
          <c:order val="1"/>
          <c:tx>
            <c:strRef>
              <c:f>'NSWOS demersal u24m u300kW'!$B$163</c:f>
              <c:strCache>
                <c:ptCount val="1"/>
                <c:pt idx="0">
                  <c:v>Squid</c:v>
                </c:pt>
              </c:strCache>
            </c:strRef>
          </c:tx>
          <c:spPr>
            <a:solidFill>
              <a:srgbClr val="E87308"/>
            </a:solidFill>
            <a:ln>
              <a:solidFill>
                <a:srgbClr val="FFFFFF"/>
              </a:solidFill>
            </a:ln>
          </c:spPr>
          <c:invertIfNegative val="0"/>
          <c:cat>
            <c:strRef>
              <c:f>'NSWOS demersal u24m u300kW'!$C$161:$E$161</c:f>
              <c:strCache>
                <c:ptCount val="3"/>
                <c:pt idx="0">
                  <c:v>Most
profitable
quartile</c:v>
                </c:pt>
                <c:pt idx="1">
                  <c:v>Middle 
two quartiles</c:v>
                </c:pt>
                <c:pt idx="2">
                  <c:v>Least
profitable
quartile</c:v>
                </c:pt>
              </c:strCache>
            </c:strRef>
          </c:cat>
          <c:val>
            <c:numRef>
              <c:f>'NSWOS demersal u24m u300kW'!$C$163:$E$163</c:f>
              <c:numCache>
                <c:formatCode>0%</c:formatCode>
                <c:ptCount val="3"/>
                <c:pt idx="0">
                  <c:v>0</c:v>
                </c:pt>
                <c:pt idx="1">
                  <c:v>0.15121721337132063</c:v>
                </c:pt>
                <c:pt idx="2">
                  <c:v>8.6283565571691548E-2</c:v>
                </c:pt>
              </c:numCache>
            </c:numRef>
          </c:val>
          <c:extLst>
            <c:ext xmlns:c16="http://schemas.microsoft.com/office/drawing/2014/chart" uri="{C3380CC4-5D6E-409C-BE32-E72D297353CC}">
              <c16:uniqueId val="{00000001-69F0-4105-90EB-EC24D4CE6684}"/>
            </c:ext>
          </c:extLst>
        </c:ser>
        <c:ser>
          <c:idx val="2"/>
          <c:order val="2"/>
          <c:tx>
            <c:strRef>
              <c:f>'NSWOS demersal u24m u300kW'!$B$164</c:f>
              <c:strCache>
                <c:ptCount val="1"/>
                <c:pt idx="0">
                  <c:v>Anglerfish</c:v>
                </c:pt>
              </c:strCache>
            </c:strRef>
          </c:tx>
          <c:spPr>
            <a:solidFill>
              <a:srgbClr val="2273B9"/>
            </a:solidFill>
            <a:ln>
              <a:solidFill>
                <a:srgbClr val="FFFFFF"/>
              </a:solidFill>
            </a:ln>
          </c:spPr>
          <c:invertIfNegative val="0"/>
          <c:cat>
            <c:strRef>
              <c:f>'NSWOS demersal u24m u300kW'!$C$161:$E$161</c:f>
              <c:strCache>
                <c:ptCount val="3"/>
                <c:pt idx="0">
                  <c:v>Most
profitable
quartile</c:v>
                </c:pt>
                <c:pt idx="1">
                  <c:v>Middle 
two quartiles</c:v>
                </c:pt>
                <c:pt idx="2">
                  <c:v>Least
profitable
quartile</c:v>
                </c:pt>
              </c:strCache>
            </c:strRef>
          </c:cat>
          <c:val>
            <c:numRef>
              <c:f>'NSWOS demersal u24m u300kW'!$C$164:$E$164</c:f>
              <c:numCache>
                <c:formatCode>0%</c:formatCode>
                <c:ptCount val="3"/>
                <c:pt idx="0">
                  <c:v>0.13549028985334283</c:v>
                </c:pt>
                <c:pt idx="1">
                  <c:v>0.1316828693077888</c:v>
                </c:pt>
                <c:pt idx="2">
                  <c:v>0.14637300100642542</c:v>
                </c:pt>
              </c:numCache>
            </c:numRef>
          </c:val>
          <c:extLst>
            <c:ext xmlns:c16="http://schemas.microsoft.com/office/drawing/2014/chart" uri="{C3380CC4-5D6E-409C-BE32-E72D297353CC}">
              <c16:uniqueId val="{00000002-69F0-4105-90EB-EC24D4CE6684}"/>
            </c:ext>
          </c:extLst>
        </c:ser>
        <c:ser>
          <c:idx val="3"/>
          <c:order val="3"/>
          <c:tx>
            <c:strRef>
              <c:f>'NSWOS demersal u24m u300kW'!$B$165</c:f>
              <c:strCache>
                <c:ptCount val="1"/>
                <c:pt idx="0">
                  <c:v>Cod</c:v>
                </c:pt>
              </c:strCache>
            </c:strRef>
          </c:tx>
          <c:spPr>
            <a:solidFill>
              <a:srgbClr val="648C2E"/>
            </a:solidFill>
            <a:ln>
              <a:solidFill>
                <a:srgbClr val="FFFFFF"/>
              </a:solidFill>
            </a:ln>
          </c:spPr>
          <c:invertIfNegative val="0"/>
          <c:cat>
            <c:strRef>
              <c:f>'NSWOS demersal u24m u300kW'!$C$161:$E$161</c:f>
              <c:strCache>
                <c:ptCount val="3"/>
                <c:pt idx="0">
                  <c:v>Most
profitable
quartile</c:v>
                </c:pt>
                <c:pt idx="1">
                  <c:v>Middle 
two quartiles</c:v>
                </c:pt>
                <c:pt idx="2">
                  <c:v>Least
profitable
quartile</c:v>
                </c:pt>
              </c:strCache>
            </c:strRef>
          </c:cat>
          <c:val>
            <c:numRef>
              <c:f>'NSWOS demersal u24m u300kW'!$C$165:$E$165</c:f>
              <c:numCache>
                <c:formatCode>0%</c:formatCode>
                <c:ptCount val="3"/>
                <c:pt idx="0">
                  <c:v>7.094439546136963E-2</c:v>
                </c:pt>
                <c:pt idx="1">
                  <c:v>0.12246982238315715</c:v>
                </c:pt>
                <c:pt idx="2">
                  <c:v>0</c:v>
                </c:pt>
              </c:numCache>
            </c:numRef>
          </c:val>
          <c:extLst>
            <c:ext xmlns:c16="http://schemas.microsoft.com/office/drawing/2014/chart" uri="{C3380CC4-5D6E-409C-BE32-E72D297353CC}">
              <c16:uniqueId val="{00000003-69F0-4105-90EB-EC24D4CE6684}"/>
            </c:ext>
          </c:extLst>
        </c:ser>
        <c:ser>
          <c:idx val="4"/>
          <c:order val="4"/>
          <c:tx>
            <c:strRef>
              <c:f>'NSWOS demersal u24m u300kW'!$B$166</c:f>
              <c:strCache>
                <c:ptCount val="1"/>
                <c:pt idx="0">
                  <c:v>Whiting</c:v>
                </c:pt>
              </c:strCache>
            </c:strRef>
          </c:tx>
          <c:spPr>
            <a:solidFill>
              <a:srgbClr val="0F9AA9"/>
            </a:solidFill>
            <a:ln>
              <a:solidFill>
                <a:srgbClr val="FFFFFF"/>
              </a:solidFill>
            </a:ln>
          </c:spPr>
          <c:invertIfNegative val="0"/>
          <c:cat>
            <c:strRef>
              <c:f>'NSWOS demersal u24m u300kW'!$C$161:$E$161</c:f>
              <c:strCache>
                <c:ptCount val="3"/>
                <c:pt idx="0">
                  <c:v>Most
profitable
quartile</c:v>
                </c:pt>
                <c:pt idx="1">
                  <c:v>Middle 
two quartiles</c:v>
                </c:pt>
                <c:pt idx="2">
                  <c:v>Least
profitable
quartile</c:v>
                </c:pt>
              </c:strCache>
            </c:strRef>
          </c:cat>
          <c:val>
            <c:numRef>
              <c:f>'NSWOS demersal u24m u300kW'!$C$166:$E$166</c:f>
              <c:numCache>
                <c:formatCode>0%</c:formatCode>
                <c:ptCount val="3"/>
                <c:pt idx="0">
                  <c:v>4.1235731031397264E-2</c:v>
                </c:pt>
                <c:pt idx="1">
                  <c:v>7.014680782671863E-2</c:v>
                </c:pt>
                <c:pt idx="2">
                  <c:v>7.5451617228824597E-2</c:v>
                </c:pt>
              </c:numCache>
            </c:numRef>
          </c:val>
          <c:extLst>
            <c:ext xmlns:c16="http://schemas.microsoft.com/office/drawing/2014/chart" uri="{C3380CC4-5D6E-409C-BE32-E72D297353CC}">
              <c16:uniqueId val="{00000004-69F0-4105-90EB-EC24D4CE6684}"/>
            </c:ext>
          </c:extLst>
        </c:ser>
        <c:ser>
          <c:idx val="5"/>
          <c:order val="5"/>
          <c:tx>
            <c:strRef>
              <c:f>'NSWOS demersal u24m u300kW'!$B$167</c:f>
              <c:strCache>
                <c:ptCount val="1"/>
                <c:pt idx="0">
                  <c:v>Nephrops</c:v>
                </c:pt>
              </c:strCache>
            </c:strRef>
          </c:tx>
          <c:spPr>
            <a:solidFill>
              <a:srgbClr val="FED825"/>
            </a:solidFill>
            <a:ln>
              <a:solidFill>
                <a:srgbClr val="FFFFFF"/>
              </a:solidFill>
            </a:ln>
          </c:spPr>
          <c:invertIfNegative val="0"/>
          <c:cat>
            <c:strRef>
              <c:f>'NSWOS demersal u24m u300kW'!$C$161:$E$161</c:f>
              <c:strCache>
                <c:ptCount val="3"/>
                <c:pt idx="0">
                  <c:v>Most
profitable
quartile</c:v>
                </c:pt>
                <c:pt idx="1">
                  <c:v>Middle 
two quartiles</c:v>
                </c:pt>
                <c:pt idx="2">
                  <c:v>Least
profitable
quartile</c:v>
                </c:pt>
              </c:strCache>
            </c:strRef>
          </c:cat>
          <c:val>
            <c:numRef>
              <c:f>'NSWOS demersal u24m u300kW'!$C$167:$E$167</c:f>
              <c:numCache>
                <c:formatCode>0%</c:formatCode>
                <c:ptCount val="3"/>
                <c:pt idx="0">
                  <c:v>0</c:v>
                </c:pt>
                <c:pt idx="1">
                  <c:v>0</c:v>
                </c:pt>
                <c:pt idx="2">
                  <c:v>0.2887197969329417</c:v>
                </c:pt>
              </c:numCache>
            </c:numRef>
          </c:val>
          <c:extLst>
            <c:ext xmlns:c16="http://schemas.microsoft.com/office/drawing/2014/chart" uri="{C3380CC4-5D6E-409C-BE32-E72D297353CC}">
              <c16:uniqueId val="{00000005-69F0-4105-90EB-EC24D4CE6684}"/>
            </c:ext>
          </c:extLst>
        </c:ser>
        <c:ser>
          <c:idx val="6"/>
          <c:order val="6"/>
          <c:tx>
            <c:strRef>
              <c:f>'NSWOS demersal u24m u300kW'!$B$168</c:f>
              <c:strCache>
                <c:ptCount val="1"/>
                <c:pt idx="0">
                  <c:v>Brown Shrimps</c:v>
                </c:pt>
              </c:strCache>
            </c:strRef>
          </c:tx>
          <c:spPr>
            <a:solidFill>
              <a:srgbClr val="707271"/>
            </a:solidFill>
            <a:ln>
              <a:solidFill>
                <a:srgbClr val="FFFFFF"/>
              </a:solidFill>
            </a:ln>
          </c:spPr>
          <c:invertIfNegative val="0"/>
          <c:cat>
            <c:strRef>
              <c:f>'NSWOS demersal u24m u300kW'!$C$161:$E$161</c:f>
              <c:strCache>
                <c:ptCount val="3"/>
                <c:pt idx="0">
                  <c:v>Most
profitable
quartile</c:v>
                </c:pt>
                <c:pt idx="1">
                  <c:v>Middle 
two quartiles</c:v>
                </c:pt>
                <c:pt idx="2">
                  <c:v>Least
profitable
quartile</c:v>
                </c:pt>
              </c:strCache>
            </c:strRef>
          </c:cat>
          <c:val>
            <c:numRef>
              <c:f>'NSWOS demersal u24m u300kW'!$C$168:$E$168</c:f>
              <c:numCache>
                <c:formatCode>0%</c:formatCode>
                <c:ptCount val="3"/>
                <c:pt idx="0">
                  <c:v>4.7468747456041613E-2</c:v>
                </c:pt>
                <c:pt idx="1">
                  <c:v>0</c:v>
                </c:pt>
                <c:pt idx="2">
                  <c:v>0</c:v>
                </c:pt>
              </c:numCache>
            </c:numRef>
          </c:val>
          <c:extLst>
            <c:ext xmlns:c16="http://schemas.microsoft.com/office/drawing/2014/chart" uri="{C3380CC4-5D6E-409C-BE32-E72D297353CC}">
              <c16:uniqueId val="{00000006-69F0-4105-90EB-EC24D4CE6684}"/>
            </c:ext>
          </c:extLst>
        </c:ser>
        <c:ser>
          <c:idx val="7"/>
          <c:order val="7"/>
          <c:tx>
            <c:strRef>
              <c:f>'NSWOS demersal u24m u300kW'!$B$169</c:f>
              <c:strCache>
                <c:ptCount val="1"/>
                <c:pt idx="0">
                  <c:v>Others</c:v>
                </c:pt>
              </c:strCache>
            </c:strRef>
          </c:tx>
          <c:spPr>
            <a:solidFill>
              <a:srgbClr val="55585A"/>
            </a:solidFill>
            <a:ln>
              <a:solidFill>
                <a:srgbClr val="FFFFFF"/>
              </a:solidFill>
            </a:ln>
          </c:spPr>
          <c:invertIfNegative val="0"/>
          <c:cat>
            <c:strRef>
              <c:f>'NSWOS demersal u24m u300kW'!$C$161:$E$161</c:f>
              <c:strCache>
                <c:ptCount val="3"/>
                <c:pt idx="0">
                  <c:v>Most
profitable
quartile</c:v>
                </c:pt>
                <c:pt idx="1">
                  <c:v>Middle 
two quartiles</c:v>
                </c:pt>
                <c:pt idx="2">
                  <c:v>Least
profitable
quartile</c:v>
                </c:pt>
              </c:strCache>
            </c:strRef>
          </c:cat>
          <c:val>
            <c:numRef>
              <c:f>'NSWOS demersal u24m u300kW'!$C$169:$E$169</c:f>
              <c:numCache>
                <c:formatCode>0%</c:formatCode>
                <c:ptCount val="3"/>
                <c:pt idx="0">
                  <c:v>0.63706470294667883</c:v>
                </c:pt>
                <c:pt idx="1">
                  <c:v>0.22024631469147049</c:v>
                </c:pt>
                <c:pt idx="2">
                  <c:v>0.13216405483055316</c:v>
                </c:pt>
              </c:numCache>
            </c:numRef>
          </c:val>
          <c:extLst>
            <c:ext xmlns:c16="http://schemas.microsoft.com/office/drawing/2014/chart" uri="{C3380CC4-5D6E-409C-BE32-E72D297353CC}">
              <c16:uniqueId val="{00000007-69F0-4105-90EB-EC24D4CE6684}"/>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'NSWOS demersal u24m u300kW'!$H$162</c:f>
              <c:strCache>
                <c:ptCount val="1"/>
                <c:pt idx="0">
                  <c:v>Squid</c:v>
                </c:pt>
              </c:strCache>
            </c:strRef>
          </c:tx>
          <c:spPr>
            <a:solidFill>
              <a:srgbClr val="E87308"/>
            </a:solidFill>
            <a:ln>
              <a:solidFill>
                <a:srgbClr val="FFFFFF"/>
              </a:solidFill>
            </a:ln>
          </c:spPr>
          <c:invertIfNegative val="0"/>
          <c:cat>
            <c:strRef>
              <c:f>'NSWOS demersal u24m u300kW'!$I$161:$K$161</c:f>
              <c:strCache>
                <c:ptCount val="3"/>
                <c:pt idx="0">
                  <c:v>Most
profitable
quartile</c:v>
                </c:pt>
                <c:pt idx="1">
                  <c:v>Middle 
two quartiles</c:v>
                </c:pt>
                <c:pt idx="2">
                  <c:v>Least
profitable
quartile</c:v>
                </c:pt>
              </c:strCache>
            </c:strRef>
          </c:cat>
          <c:val>
            <c:numRef>
              <c:f>'NSWOS demersal u24m u300kW'!$I$162:$K$162</c:f>
              <c:numCache>
                <c:formatCode>0%</c:formatCode>
                <c:ptCount val="3"/>
                <c:pt idx="0">
                  <c:v>0</c:v>
                </c:pt>
                <c:pt idx="1">
                  <c:v>0.33279370445862738</c:v>
                </c:pt>
                <c:pt idx="2">
                  <c:v>0.19459219174868628</c:v>
                </c:pt>
              </c:numCache>
            </c:numRef>
          </c:val>
          <c:extLst>
            <c:ext xmlns:c16="http://schemas.microsoft.com/office/drawing/2014/chart" uri="{C3380CC4-5D6E-409C-BE32-E72D297353CC}">
              <c16:uniqueId val="{00000000-117D-4A76-88B5-1EE70FB2C882}"/>
            </c:ext>
          </c:extLst>
        </c:ser>
        <c:ser>
          <c:idx val="1"/>
          <c:order val="1"/>
          <c:tx>
            <c:strRef>
              <c:f>'NSWOS demersal u24m u300kW'!$H$163</c:f>
              <c:strCache>
                <c:ptCount val="1"/>
                <c:pt idx="0">
                  <c:v>Haddock</c:v>
                </c:pt>
              </c:strCache>
            </c:strRef>
          </c:tx>
          <c:spPr>
            <a:solidFill>
              <a:srgbClr val="C1D119"/>
            </a:solidFill>
            <a:ln>
              <a:solidFill>
                <a:srgbClr val="FFFFFF"/>
              </a:solidFill>
            </a:ln>
          </c:spPr>
          <c:invertIfNegative val="0"/>
          <c:cat>
            <c:strRef>
              <c:f>'NSWOS demersal u24m u300kW'!$I$161:$K$161</c:f>
              <c:strCache>
                <c:ptCount val="3"/>
                <c:pt idx="0">
                  <c:v>Most
profitable
quartile</c:v>
                </c:pt>
                <c:pt idx="1">
                  <c:v>Middle 
two quartiles</c:v>
                </c:pt>
                <c:pt idx="2">
                  <c:v>Least
profitable
quartile</c:v>
                </c:pt>
              </c:strCache>
            </c:strRef>
          </c:cat>
          <c:val>
            <c:numRef>
              <c:f>'NSWOS demersal u24m u300kW'!$I$163:$K$163</c:f>
              <c:numCache>
                <c:formatCode>0%</c:formatCode>
                <c:ptCount val="3"/>
                <c:pt idx="0">
                  <c:v>3.0853320474831063E-2</c:v>
                </c:pt>
                <c:pt idx="1">
                  <c:v>0.16417589461266663</c:v>
                </c:pt>
                <c:pt idx="2">
                  <c:v>0.10905570220713336</c:v>
                </c:pt>
              </c:numCache>
            </c:numRef>
          </c:val>
          <c:extLst>
            <c:ext xmlns:c16="http://schemas.microsoft.com/office/drawing/2014/chart" uri="{C3380CC4-5D6E-409C-BE32-E72D297353CC}">
              <c16:uniqueId val="{00000001-117D-4A76-88B5-1EE70FB2C882}"/>
            </c:ext>
          </c:extLst>
        </c:ser>
        <c:ser>
          <c:idx val="2"/>
          <c:order val="2"/>
          <c:tx>
            <c:strRef>
              <c:f>'NSWOS demersal u24m u300kW'!$H$164</c:f>
              <c:strCache>
                <c:ptCount val="1"/>
                <c:pt idx="0">
                  <c:v>Anglerfish</c:v>
                </c:pt>
              </c:strCache>
            </c:strRef>
          </c:tx>
          <c:spPr>
            <a:solidFill>
              <a:srgbClr val="2273B9"/>
            </a:solidFill>
            <a:ln>
              <a:solidFill>
                <a:srgbClr val="FFFFFF"/>
              </a:solidFill>
            </a:ln>
          </c:spPr>
          <c:invertIfNegative val="0"/>
          <c:cat>
            <c:strRef>
              <c:f>'NSWOS demersal u24m u300kW'!$I$161:$K$161</c:f>
              <c:strCache>
                <c:ptCount val="3"/>
                <c:pt idx="0">
                  <c:v>Most
profitable
quartile</c:v>
                </c:pt>
                <c:pt idx="1">
                  <c:v>Middle 
two quartiles</c:v>
                </c:pt>
                <c:pt idx="2">
                  <c:v>Least
profitable
quartile</c:v>
                </c:pt>
              </c:strCache>
            </c:strRef>
          </c:cat>
          <c:val>
            <c:numRef>
              <c:f>'NSWOS demersal u24m u300kW'!$I$164:$K$164</c:f>
              <c:numCache>
                <c:formatCode>0%</c:formatCode>
                <c:ptCount val="3"/>
                <c:pt idx="0">
                  <c:v>0.12813802262132765</c:v>
                </c:pt>
                <c:pt idx="1">
                  <c:v>0.15425689736528619</c:v>
                </c:pt>
                <c:pt idx="2">
                  <c:v>0.14612147058754235</c:v>
                </c:pt>
              </c:numCache>
            </c:numRef>
          </c:val>
          <c:extLst>
            <c:ext xmlns:c16="http://schemas.microsoft.com/office/drawing/2014/chart" uri="{C3380CC4-5D6E-409C-BE32-E72D297353CC}">
              <c16:uniqueId val="{00000002-117D-4A76-88B5-1EE70FB2C882}"/>
            </c:ext>
          </c:extLst>
        </c:ser>
        <c:ser>
          <c:idx val="3"/>
          <c:order val="3"/>
          <c:tx>
            <c:strRef>
              <c:f>'NSWOS demersal u24m u300kW'!$H$165</c:f>
              <c:strCache>
                <c:ptCount val="1"/>
                <c:pt idx="0">
                  <c:v>Cod</c:v>
                </c:pt>
              </c:strCache>
            </c:strRef>
          </c:tx>
          <c:spPr>
            <a:solidFill>
              <a:srgbClr val="648C2E"/>
            </a:solidFill>
            <a:ln>
              <a:solidFill>
                <a:srgbClr val="FFFFFF"/>
              </a:solidFill>
            </a:ln>
          </c:spPr>
          <c:invertIfNegative val="0"/>
          <c:cat>
            <c:strRef>
              <c:f>'NSWOS demersal u24m u300kW'!$I$161:$K$161</c:f>
              <c:strCache>
                <c:ptCount val="3"/>
                <c:pt idx="0">
                  <c:v>Most
profitable
quartile</c:v>
                </c:pt>
                <c:pt idx="1">
                  <c:v>Middle 
two quartiles</c:v>
                </c:pt>
                <c:pt idx="2">
                  <c:v>Least
profitable
quartile</c:v>
                </c:pt>
              </c:strCache>
            </c:strRef>
          </c:cat>
          <c:val>
            <c:numRef>
              <c:f>'NSWOS demersal u24m u300kW'!$I$165:$K$165</c:f>
              <c:numCache>
                <c:formatCode>0%</c:formatCode>
                <c:ptCount val="3"/>
                <c:pt idx="0">
                  <c:v>7.3291132150471575E-2</c:v>
                </c:pt>
                <c:pt idx="1">
                  <c:v>0.1331297911780196</c:v>
                </c:pt>
                <c:pt idx="2">
                  <c:v>4.1369829045359373E-2</c:v>
                </c:pt>
              </c:numCache>
            </c:numRef>
          </c:val>
          <c:extLst>
            <c:ext xmlns:c16="http://schemas.microsoft.com/office/drawing/2014/chart" uri="{C3380CC4-5D6E-409C-BE32-E72D297353CC}">
              <c16:uniqueId val="{00000003-117D-4A76-88B5-1EE70FB2C882}"/>
            </c:ext>
          </c:extLst>
        </c:ser>
        <c:ser>
          <c:idx val="4"/>
          <c:order val="4"/>
          <c:tx>
            <c:strRef>
              <c:f>'NSWOS demersal u24m u300kW'!$H$166</c:f>
              <c:strCache>
                <c:ptCount val="1"/>
                <c:pt idx="0">
                  <c:v>Megrim</c:v>
                </c:pt>
              </c:strCache>
            </c:strRef>
          </c:tx>
          <c:spPr>
            <a:solidFill>
              <a:srgbClr val="E84A38"/>
            </a:solidFill>
            <a:ln>
              <a:solidFill>
                <a:srgbClr val="FFFFFF"/>
              </a:solidFill>
            </a:ln>
          </c:spPr>
          <c:invertIfNegative val="0"/>
          <c:cat>
            <c:strRef>
              <c:f>'NSWOS demersal u24m u300kW'!$I$161:$K$161</c:f>
              <c:strCache>
                <c:ptCount val="3"/>
                <c:pt idx="0">
                  <c:v>Most
profitable
quartile</c:v>
                </c:pt>
                <c:pt idx="1">
                  <c:v>Middle 
two quartiles</c:v>
                </c:pt>
                <c:pt idx="2">
                  <c:v>Least
profitable
quartile</c:v>
                </c:pt>
              </c:strCache>
            </c:strRef>
          </c:cat>
          <c:val>
            <c:numRef>
              <c:f>'NSWOS demersal u24m u300kW'!$I$166:$K$166</c:f>
              <c:numCache>
                <c:formatCode>0%</c:formatCode>
                <c:ptCount val="3"/>
                <c:pt idx="0">
                  <c:v>4.3199743432226358E-2</c:v>
                </c:pt>
                <c:pt idx="1">
                  <c:v>5.8276123920236275E-2</c:v>
                </c:pt>
                <c:pt idx="2">
                  <c:v>0</c:v>
                </c:pt>
              </c:numCache>
            </c:numRef>
          </c:val>
          <c:extLst>
            <c:ext xmlns:c16="http://schemas.microsoft.com/office/drawing/2014/chart" uri="{C3380CC4-5D6E-409C-BE32-E72D297353CC}">
              <c16:uniqueId val="{00000004-117D-4A76-88B5-1EE70FB2C882}"/>
            </c:ext>
          </c:extLst>
        </c:ser>
        <c:ser>
          <c:idx val="5"/>
          <c:order val="5"/>
          <c:tx>
            <c:strRef>
              <c:f>'NSWOS demersal u24m u300kW'!$H$167</c:f>
              <c:strCache>
                <c:ptCount val="1"/>
                <c:pt idx="0">
                  <c:v>Nephrops</c:v>
                </c:pt>
              </c:strCache>
            </c:strRef>
          </c:tx>
          <c:spPr>
            <a:solidFill>
              <a:srgbClr val="FED825"/>
            </a:solidFill>
            <a:ln>
              <a:solidFill>
                <a:srgbClr val="FFFFFF"/>
              </a:solidFill>
            </a:ln>
          </c:spPr>
          <c:invertIfNegative val="0"/>
          <c:cat>
            <c:strRef>
              <c:f>'NSWOS demersal u24m u300kW'!$I$161:$K$161</c:f>
              <c:strCache>
                <c:ptCount val="3"/>
                <c:pt idx="0">
                  <c:v>Most
profitable
quartile</c:v>
                </c:pt>
                <c:pt idx="1">
                  <c:v>Middle 
two quartiles</c:v>
                </c:pt>
                <c:pt idx="2">
                  <c:v>Least
profitable
quartile</c:v>
                </c:pt>
              </c:strCache>
            </c:strRef>
          </c:cat>
          <c:val>
            <c:numRef>
              <c:f>'NSWOS demersal u24m u300kW'!$I$167:$K$167</c:f>
              <c:numCache>
                <c:formatCode>0%</c:formatCode>
                <c:ptCount val="3"/>
                <c:pt idx="0">
                  <c:v>0</c:v>
                </c:pt>
                <c:pt idx="1">
                  <c:v>0</c:v>
                </c:pt>
                <c:pt idx="2">
                  <c:v>0.32541325060860499</c:v>
                </c:pt>
              </c:numCache>
            </c:numRef>
          </c:val>
          <c:extLst>
            <c:ext xmlns:c16="http://schemas.microsoft.com/office/drawing/2014/chart" uri="{C3380CC4-5D6E-409C-BE32-E72D297353CC}">
              <c16:uniqueId val="{00000005-117D-4A76-88B5-1EE70FB2C882}"/>
            </c:ext>
          </c:extLst>
        </c:ser>
        <c:ser>
          <c:idx val="6"/>
          <c:order val="6"/>
          <c:tx>
            <c:strRef>
              <c:f>'NSWOS demersal u24m u300kW'!$H$168</c:f>
              <c:strCache>
                <c:ptCount val="1"/>
                <c:pt idx="0">
                  <c:v>Brown Shrimps</c:v>
                </c:pt>
              </c:strCache>
            </c:strRef>
          </c:tx>
          <c:spPr>
            <a:solidFill>
              <a:srgbClr val="707271"/>
            </a:solidFill>
            <a:ln>
              <a:solidFill>
                <a:srgbClr val="FFFFFF"/>
              </a:solidFill>
            </a:ln>
          </c:spPr>
          <c:invertIfNegative val="0"/>
          <c:cat>
            <c:strRef>
              <c:f>'NSWOS demersal u24m u300kW'!$I$161:$K$161</c:f>
              <c:strCache>
                <c:ptCount val="3"/>
                <c:pt idx="0">
                  <c:v>Most
profitable
quartile</c:v>
                </c:pt>
                <c:pt idx="1">
                  <c:v>Middle 
two quartiles</c:v>
                </c:pt>
                <c:pt idx="2">
                  <c:v>Least
profitable
quartile</c:v>
                </c:pt>
              </c:strCache>
            </c:strRef>
          </c:cat>
          <c:val>
            <c:numRef>
              <c:f>'NSWOS demersal u24m u300kW'!$I$168:$K$168</c:f>
              <c:numCache>
                <c:formatCode>0%</c:formatCode>
                <c:ptCount val="3"/>
                <c:pt idx="0">
                  <c:v>3.3535070285115452E-2</c:v>
                </c:pt>
                <c:pt idx="1">
                  <c:v>0</c:v>
                </c:pt>
                <c:pt idx="2">
                  <c:v>0</c:v>
                </c:pt>
              </c:numCache>
            </c:numRef>
          </c:val>
          <c:extLst>
            <c:ext xmlns:c16="http://schemas.microsoft.com/office/drawing/2014/chart" uri="{C3380CC4-5D6E-409C-BE32-E72D297353CC}">
              <c16:uniqueId val="{00000006-117D-4A76-88B5-1EE70FB2C882}"/>
            </c:ext>
          </c:extLst>
        </c:ser>
        <c:ser>
          <c:idx val="7"/>
          <c:order val="7"/>
          <c:tx>
            <c:strRef>
              <c:f>'NSWOS demersal u24m u300kW'!$H$169</c:f>
              <c:strCache>
                <c:ptCount val="1"/>
                <c:pt idx="0">
                  <c:v>Others</c:v>
                </c:pt>
              </c:strCache>
            </c:strRef>
          </c:tx>
          <c:spPr>
            <a:solidFill>
              <a:srgbClr val="55585A"/>
            </a:solidFill>
            <a:ln>
              <a:solidFill>
                <a:srgbClr val="FFFFFF"/>
              </a:solidFill>
            </a:ln>
          </c:spPr>
          <c:invertIfNegative val="0"/>
          <c:cat>
            <c:strRef>
              <c:f>'NSWOS demersal u24m u300kW'!$I$161:$K$161</c:f>
              <c:strCache>
                <c:ptCount val="3"/>
                <c:pt idx="0">
                  <c:v>Most
profitable
quartile</c:v>
                </c:pt>
                <c:pt idx="1">
                  <c:v>Middle 
two quartiles</c:v>
                </c:pt>
                <c:pt idx="2">
                  <c:v>Least
profitable
quartile</c:v>
                </c:pt>
              </c:strCache>
            </c:strRef>
          </c:cat>
          <c:val>
            <c:numRef>
              <c:f>'NSWOS demersal u24m u300kW'!$I$169:$K$169</c:f>
              <c:numCache>
                <c:formatCode>0%</c:formatCode>
                <c:ptCount val="3"/>
                <c:pt idx="0">
                  <c:v>0.69098271103602782</c:v>
                </c:pt>
                <c:pt idx="1">
                  <c:v>0.15736758846516397</c:v>
                </c:pt>
                <c:pt idx="2">
                  <c:v>0.18344755580267369</c:v>
                </c:pt>
              </c:numCache>
            </c:numRef>
          </c:val>
          <c:extLst>
            <c:ext xmlns:c16="http://schemas.microsoft.com/office/drawing/2014/chart" uri="{C3380CC4-5D6E-409C-BE32-E72D297353CC}">
              <c16:uniqueId val="{00000007-117D-4A76-88B5-1EE70FB2C882}"/>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'NSWOS demersal u24m u300kW'!$K$139</c:f>
              <c:strCache>
                <c:ptCount val="1"/>
                <c:pt idx="0">
                  <c:v>Total income</c:v>
                </c:pt>
              </c:strCache>
            </c:strRef>
          </c:tx>
          <c:spPr>
            <a:solidFill>
              <a:srgbClr val="087CBB"/>
            </a:solidFill>
            <a:ln>
              <a:solidFill>
                <a:schemeClr val="accent1"/>
              </a:solidFill>
            </a:ln>
          </c:spPr>
          <c:invertIfNegative val="0"/>
          <c:cat>
            <c:strRef>
              <c:f>'NSWOS demersal u24m u300kW'!$L$138:$N$138</c:f>
              <c:strCache>
                <c:ptCount val="3"/>
                <c:pt idx="0">
                  <c:v>Most
profitable
quartile</c:v>
                </c:pt>
                <c:pt idx="1">
                  <c:v>Middle
two quartiles</c:v>
                </c:pt>
                <c:pt idx="2">
                  <c:v>Least
profitable
quartile</c:v>
                </c:pt>
              </c:strCache>
            </c:strRef>
          </c:cat>
          <c:val>
            <c:numRef>
              <c:f>'NSWOS demersal u24m u300kW'!$L$139:$N$139</c:f>
              <c:numCache>
                <c:formatCode>#,##0</c:formatCode>
                <c:ptCount val="3"/>
                <c:pt idx="0">
                  <c:v>806.14425000000006</c:v>
                </c:pt>
                <c:pt idx="1">
                  <c:v>305.96537499999999</c:v>
                </c:pt>
                <c:pt idx="2">
                  <c:v>108.19060156250001</c:v>
                </c:pt>
              </c:numCache>
            </c:numRef>
          </c:val>
          <c:extLst>
            <c:ext xmlns:c16="http://schemas.microsoft.com/office/drawing/2014/chart" uri="{C3380CC4-5D6E-409C-BE32-E72D297353CC}">
              <c16:uniqueId val="{00000000-B8DA-49A3-A8FE-A34944D00388}"/>
            </c:ext>
          </c:extLst>
        </c:ser>
        <c:ser>
          <c:idx val="1"/>
          <c:order val="1"/>
          <c:tx>
            <c:strRef>
              <c:f>'NSWOS demersal u24m u300kW'!$K$140</c:f>
              <c:strCache>
                <c:ptCount val="1"/>
                <c:pt idx="0">
                  <c:v>Operating costs</c:v>
                </c:pt>
              </c:strCache>
            </c:strRef>
          </c:tx>
          <c:spPr>
            <a:solidFill>
              <a:srgbClr val="E87308"/>
            </a:solidFill>
          </c:spPr>
          <c:invertIfNegative val="0"/>
          <c:cat>
            <c:strRef>
              <c:f>'NSWOS demersal u24m u300kW'!$L$138:$N$138</c:f>
              <c:strCache>
                <c:ptCount val="3"/>
                <c:pt idx="0">
                  <c:v>Most
profitable
quartile</c:v>
                </c:pt>
                <c:pt idx="1">
                  <c:v>Middle
two quartiles</c:v>
                </c:pt>
                <c:pt idx="2">
                  <c:v>Least
profitable
quartile</c:v>
                </c:pt>
              </c:strCache>
            </c:strRef>
          </c:cat>
          <c:val>
            <c:numRef>
              <c:f>'NSWOS demersal u24m u300kW'!$L$140:$N$140</c:f>
              <c:numCache>
                <c:formatCode>#,##0</c:formatCode>
                <c:ptCount val="3"/>
                <c:pt idx="0">
                  <c:v>658.71081249999997</c:v>
                </c:pt>
                <c:pt idx="1">
                  <c:v>266.25042187499997</c:v>
                </c:pt>
                <c:pt idx="2">
                  <c:v>120.7857109375</c:v>
                </c:pt>
              </c:numCache>
            </c:numRef>
          </c:val>
          <c:extLst>
            <c:ext xmlns:c16="http://schemas.microsoft.com/office/drawing/2014/chart" uri="{C3380CC4-5D6E-409C-BE32-E72D297353CC}">
              <c16:uniqueId val="{00000001-B8DA-49A3-A8FE-A34944D00388}"/>
            </c:ext>
          </c:extLst>
        </c:ser>
        <c:ser>
          <c:idx val="2"/>
          <c:order val="2"/>
          <c:tx>
            <c:strRef>
              <c:f>'NSWOS demersal u24m u300kW'!$K$141</c:f>
              <c:strCache>
                <c:ptCount val="1"/>
                <c:pt idx="0">
                  <c:v>Operating profit</c:v>
                </c:pt>
              </c:strCache>
            </c:strRef>
          </c:tx>
          <c:spPr>
            <a:solidFill>
              <a:srgbClr val="51AA81"/>
            </a:solidFill>
          </c:spPr>
          <c:invertIfNegative val="0"/>
          <c:cat>
            <c:strRef>
              <c:f>'NSWOS demersal u24m u300kW'!$L$138:$N$138</c:f>
              <c:strCache>
                <c:ptCount val="3"/>
                <c:pt idx="0">
                  <c:v>Most
profitable
quartile</c:v>
                </c:pt>
                <c:pt idx="1">
                  <c:v>Middle
two quartiles</c:v>
                </c:pt>
                <c:pt idx="2">
                  <c:v>Least
profitable
quartile</c:v>
                </c:pt>
              </c:strCache>
            </c:strRef>
          </c:cat>
          <c:val>
            <c:numRef>
              <c:f>'NSWOS demersal u24m u300kW'!$L$141:$N$141</c:f>
              <c:numCache>
                <c:formatCode>#,##0</c:formatCode>
                <c:ptCount val="3"/>
                <c:pt idx="0">
                  <c:v>147.4334375</c:v>
                </c:pt>
                <c:pt idx="1">
                  <c:v>39.714953125000001</c:v>
                </c:pt>
                <c:pt idx="2">
                  <c:v>-12.595109375</c:v>
                </c:pt>
              </c:numCache>
            </c:numRef>
          </c:val>
          <c:extLst>
            <c:ext xmlns:c16="http://schemas.microsoft.com/office/drawing/2014/chart" uri="{C3380CC4-5D6E-409C-BE32-E72D297353CC}">
              <c16:uniqueId val="{00000002-B8DA-49A3-A8FE-A34944D00388}"/>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'NSWOS demersal u24m u300kW'!$K$142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10-12m'!$A$48</c:f>
          <c:strCache>
            <c:ptCount val="1"/>
            <c:pt idx="0">
              <c:v>Landings per kW day at sea (kg)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7202-468B-95B3-B27BE8E9ED4F}"/>
              </c:ext>
            </c:extLst>
          </c:dPt>
          <c:dPt>
            <c:idx val="10"/>
            <c:bubble3D val="0"/>
            <c:spPr>
              <a:ln w="57150">
                <a:solidFill>
                  <a:srgbClr val="2273B9"/>
                </a:solidFill>
                <a:prstDash val="sysDot"/>
              </a:ln>
            </c:spPr>
            <c:extLst>
              <c:ext xmlns:c16="http://schemas.microsoft.com/office/drawing/2014/chart" uri="{C3380CC4-5D6E-409C-BE32-E72D297353CC}">
                <c16:uniqueId val="{00000003-7202-468B-95B3-B27BE8E9ED4F}"/>
              </c:ext>
            </c:extLst>
          </c:dPt>
          <c:cat>
            <c:numRef>
              <c:f>'Pots and traps 10-12m'!$D$2:$N$2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'Pots and traps 10-12m'!$D$21:$N$21</c:f>
              <c:numCache>
                <c:formatCode>#,##0.00</c:formatCode>
                <c:ptCount val="11"/>
                <c:pt idx="0">
                  <c:v>2.4473436989740622</c:v>
                </c:pt>
                <c:pt idx="1">
                  <c:v>2.5862568585868888</c:v>
                </c:pt>
                <c:pt idx="2">
                  <c:v>2.9470989899997764</c:v>
                </c:pt>
                <c:pt idx="3">
                  <c:v>2.7317684115728165</c:v>
                </c:pt>
                <c:pt idx="4">
                  <c:v>2.778745358943667</c:v>
                </c:pt>
                <c:pt idx="5">
                  <c:v>3.057889747382696</c:v>
                </c:pt>
                <c:pt idx="6">
                  <c:v>2.9541785084541461</c:v>
                </c:pt>
                <c:pt idx="7">
                  <c:v>2.6707805389877768</c:v>
                </c:pt>
                <c:pt idx="8">
                  <c:v>2.4119970872959495</c:v>
                </c:pt>
                <c:pt idx="9">
                  <c:v>2.4240050097617618</c:v>
                </c:pt>
                <c:pt idx="10">
                  <c:v>2.3168214113975139</c:v>
                </c:pt>
              </c:numCache>
            </c:numRef>
          </c:val>
          <c:smooth val="0"/>
          <c:extLst>
            <c:ext xmlns:c16="http://schemas.microsoft.com/office/drawing/2014/chart" uri="{C3380CC4-5D6E-409C-BE32-E72D297353CC}">
              <c16:uniqueId val="{00000004-7202-468B-95B3-B27BE8E9ED4F}"/>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10-12m'!$A$49</c:f>
          <c:strCache>
            <c:ptCount val="1"/>
            <c:pt idx="0">
              <c:v>Fishing income per kW day at sea (£)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A7C7-4794-A361-D8A2BD66316A}"/>
              </c:ext>
            </c:extLst>
          </c:dPt>
          <c:dPt>
            <c:idx val="10"/>
            <c:bubble3D val="0"/>
            <c:spPr>
              <a:ln w="57150">
                <a:solidFill>
                  <a:srgbClr val="648C2E"/>
                </a:solidFill>
                <a:prstDash val="sysDot"/>
              </a:ln>
            </c:spPr>
            <c:extLst>
              <c:ext xmlns:c16="http://schemas.microsoft.com/office/drawing/2014/chart" uri="{C3380CC4-5D6E-409C-BE32-E72D297353CC}">
                <c16:uniqueId val="{00000003-A7C7-4794-A361-D8A2BD66316A}"/>
              </c:ext>
            </c:extLst>
          </c:dPt>
          <c:cat>
            <c:numRef>
              <c:f>'Pots and traps 10-12m'!$D$2:$N$2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'Pots and traps 10-12m'!$D$22:$N$22</c:f>
              <c:numCache>
                <c:formatCode>#,##0.00</c:formatCode>
                <c:ptCount val="11"/>
                <c:pt idx="0">
                  <c:v>6.0693693817117396</c:v>
                </c:pt>
                <c:pt idx="1">
                  <c:v>6.0436433095304798</c:v>
                </c:pt>
                <c:pt idx="2">
                  <c:v>5.9357499463215202</c:v>
                </c:pt>
                <c:pt idx="3">
                  <c:v>6.0903397293946098</c:v>
                </c:pt>
                <c:pt idx="4">
                  <c:v>6.3714135588711596</c:v>
                </c:pt>
                <c:pt idx="5">
                  <c:v>7.2132319205600099</c:v>
                </c:pt>
                <c:pt idx="6">
                  <c:v>7.8933638307110501</c:v>
                </c:pt>
                <c:pt idx="7">
                  <c:v>8.7919966580360907</c:v>
                </c:pt>
                <c:pt idx="8">
                  <c:v>8.1033973422074794</c:v>
                </c:pt>
                <c:pt idx="9">
                  <c:v>6.6837581964053596</c:v>
                </c:pt>
                <c:pt idx="10">
                  <c:v>8.0479275342546313</c:v>
                </c:pt>
              </c:numCache>
            </c:numRef>
          </c:val>
          <c:smooth val="0"/>
          <c:extLst>
            <c:ext xmlns:c16="http://schemas.microsoft.com/office/drawing/2014/chart" uri="{C3380CC4-5D6E-409C-BE32-E72D297353CC}">
              <c16:uniqueId val="{00000004-A7C7-4794-A361-D8A2BD66316A}"/>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10-12m'!$B$62</c:f>
          <c:strCache>
            <c:ptCount val="1"/>
            <c:pt idx="0">
              <c:v>Total cost per kW day at sea (£)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BC47-4D23-8EF9-8741923F923E}"/>
              </c:ext>
            </c:extLst>
          </c:dPt>
          <c:dPt>
            <c:idx val="10"/>
            <c:bubble3D val="0"/>
            <c:spPr>
              <a:ln w="57150">
                <a:solidFill>
                  <a:srgbClr val="087CBB"/>
                </a:solidFill>
                <a:prstDash val="sysDot"/>
              </a:ln>
            </c:spPr>
            <c:extLst>
              <c:ext xmlns:c16="http://schemas.microsoft.com/office/drawing/2014/chart" uri="{C3380CC4-5D6E-409C-BE32-E72D297353CC}">
                <c16:uniqueId val="{00000003-BC47-4D23-8EF9-8741923F923E}"/>
              </c:ext>
            </c:extLst>
          </c:dPt>
          <c:cat>
            <c:numRef>
              <c:f>'Pots and traps 10-12m'!$D$2:$N$2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'Pots and traps 10-12m'!$D$23:$N$23</c:f>
              <c:numCache>
                <c:formatCode>#,##0.00</c:formatCode>
                <c:ptCount val="11"/>
                <c:pt idx="0">
                  <c:v>5.2627498500769603</c:v>
                </c:pt>
                <c:pt idx="1">
                  <c:v>4.1300392814197799</c:v>
                </c:pt>
                <c:pt idx="2">
                  <c:v>4.7223692306251603</c:v>
                </c:pt>
                <c:pt idx="3">
                  <c:v>4.4617947947006096</c:v>
                </c:pt>
                <c:pt idx="4">
                  <c:v>4.2866666581686799</c:v>
                </c:pt>
                <c:pt idx="5">
                  <c:v>5.0079192580297596</c:v>
                </c:pt>
                <c:pt idx="6">
                  <c:v>5.6407237178786502</c:v>
                </c:pt>
                <c:pt idx="7">
                  <c:v>5.8195877727069103</c:v>
                </c:pt>
                <c:pt idx="8">
                  <c:v>5.5092082135035803</c:v>
                </c:pt>
                <c:pt idx="9">
                  <c:v>5.2177446431893797</c:v>
                </c:pt>
                <c:pt idx="10">
                  <c:v>5.7691658646113693</c:v>
                </c:pt>
              </c:numCache>
            </c:numRef>
          </c:val>
          <c:smooth val="0"/>
          <c:extLst>
            <c:ext xmlns:c16="http://schemas.microsoft.com/office/drawing/2014/chart" uri="{C3380CC4-5D6E-409C-BE32-E72D297353CC}">
              <c16:uniqueId val="{00000004-BC47-4D23-8EF9-8741923F923E}"/>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'Area VIIa nephrops o250kW'!$B$162</c:f>
              <c:strCache>
                <c:ptCount val="1"/>
                <c:pt idx="0">
                  <c:v>Nephrops</c:v>
                </c:pt>
              </c:strCache>
            </c:strRef>
          </c:tx>
          <c:spPr>
            <a:solidFill>
              <a:srgbClr val="2273B9"/>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o250kW'!$C$162:$E$162</c:f>
              <c:numCache>
                <c:formatCode>0%</c:formatCode>
                <c:ptCount val="3"/>
                <c:pt idx="0">
                  <c:v>0.3637536932533193</c:v>
                </c:pt>
                <c:pt idx="1">
                  <c:v>0.8108583860541968</c:v>
                </c:pt>
                <c:pt idx="2">
                  <c:v>0.89809390349942475</c:v>
                </c:pt>
              </c:numCache>
            </c:numRef>
          </c:val>
          <c:extLst>
            <c:ext xmlns:c16="http://schemas.microsoft.com/office/drawing/2014/chart" uri="{C3380CC4-5D6E-409C-BE32-E72D297353CC}">
              <c16:uniqueId val="{00000000-BE23-4D8A-8B63-A1E94E1BED9A}"/>
            </c:ext>
          </c:extLst>
        </c:ser>
        <c:ser>
          <c:idx val="1"/>
          <c:order val="1"/>
          <c:tx>
            <c:strRef>
              <c:f>'Area VIIa nephrops o250kW'!$B$163</c:f>
              <c:strCache>
                <c:ptCount val="1"/>
                <c:pt idx="0">
                  <c:v>Les. Spot. Dog</c:v>
                </c:pt>
              </c:strCache>
            </c:strRef>
          </c:tx>
          <c:spPr>
            <a:solidFill>
              <a:srgbClr val="648C2E"/>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o250kW'!$C$163:$E$163</c:f>
              <c:numCache>
                <c:formatCode>0%</c:formatCode>
                <c:ptCount val="3"/>
                <c:pt idx="0">
                  <c:v>2.4409935739650071E-2</c:v>
                </c:pt>
                <c:pt idx="1">
                  <c:v>0.13519059968533967</c:v>
                </c:pt>
                <c:pt idx="2">
                  <c:v>3.912733450090624E-2</c:v>
                </c:pt>
              </c:numCache>
            </c:numRef>
          </c:val>
          <c:extLst>
            <c:ext xmlns:c16="http://schemas.microsoft.com/office/drawing/2014/chart" uri="{C3380CC4-5D6E-409C-BE32-E72D297353CC}">
              <c16:uniqueId val="{00000001-BE23-4D8A-8B63-A1E94E1BED9A}"/>
            </c:ext>
          </c:extLst>
        </c:ser>
        <c:ser>
          <c:idx val="2"/>
          <c:order val="2"/>
          <c:tx>
            <c:strRef>
              <c:f>'Area VIIa nephrops o250kW'!$B$164</c:f>
              <c:strCache>
                <c:ptCount val="1"/>
                <c:pt idx="0">
                  <c:v>Anglerfish</c:v>
                </c:pt>
              </c:strCache>
            </c:strRef>
          </c:tx>
          <c:spPr>
            <a:solidFill>
              <a:srgbClr val="E87308"/>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o250kW'!$C$164:$E$164</c:f>
              <c:numCache>
                <c:formatCode>0%</c:formatCode>
                <c:ptCount val="3"/>
                <c:pt idx="0">
                  <c:v>7.6410654655616429E-3</c:v>
                </c:pt>
                <c:pt idx="1">
                  <c:v>1.9564409036498684E-2</c:v>
                </c:pt>
                <c:pt idx="2">
                  <c:v>1.7518006200597916E-2</c:v>
                </c:pt>
              </c:numCache>
            </c:numRef>
          </c:val>
          <c:extLst>
            <c:ext xmlns:c16="http://schemas.microsoft.com/office/drawing/2014/chart" uri="{C3380CC4-5D6E-409C-BE32-E72D297353CC}">
              <c16:uniqueId val="{00000002-BE23-4D8A-8B63-A1E94E1BED9A}"/>
            </c:ext>
          </c:extLst>
        </c:ser>
        <c:ser>
          <c:idx val="3"/>
          <c:order val="3"/>
          <c:tx>
            <c:strRef>
              <c:f>'Area VIIa nephrops o250kW'!$B$165</c:f>
              <c:strCache>
                <c:ptCount val="1"/>
                <c:pt idx="0">
                  <c:v>Haddock</c:v>
                </c:pt>
              </c:strCache>
            </c:strRef>
          </c:tx>
          <c:spPr>
            <a:solidFill>
              <a:srgbClr val="C1D119"/>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o250kW'!$C$165:$E$165</c:f>
              <c:numCache>
                <c:formatCode>0%</c:formatCode>
                <c:ptCount val="3"/>
                <c:pt idx="0">
                  <c:v>2.462148966006222E-3</c:v>
                </c:pt>
                <c:pt idx="1">
                  <c:v>1.384398494198336E-2</c:v>
                </c:pt>
                <c:pt idx="2">
                  <c:v>1.4992026016794476E-2</c:v>
                </c:pt>
              </c:numCache>
            </c:numRef>
          </c:val>
          <c:extLst>
            <c:ext xmlns:c16="http://schemas.microsoft.com/office/drawing/2014/chart" uri="{C3380CC4-5D6E-409C-BE32-E72D297353CC}">
              <c16:uniqueId val="{00000003-BE23-4D8A-8B63-A1E94E1BED9A}"/>
            </c:ext>
          </c:extLst>
        </c:ser>
        <c:ser>
          <c:idx val="4"/>
          <c:order val="4"/>
          <c:tx>
            <c:strRef>
              <c:f>'Area VIIa nephrops o250kW'!$B$166</c:f>
              <c:strCache>
                <c:ptCount val="1"/>
                <c:pt idx="0">
                  <c:v>Thornback Ray</c:v>
                </c:pt>
              </c:strCache>
            </c:strRef>
          </c:tx>
          <c:spPr>
            <a:solidFill>
              <a:srgbClr val="0F9AA9"/>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o250kW'!$C$166:$E$166</c:f>
              <c:numCache>
                <c:formatCode>0%</c:formatCode>
                <c:ptCount val="3"/>
                <c:pt idx="0">
                  <c:v>0</c:v>
                </c:pt>
                <c:pt idx="1">
                  <c:v>5.7776824864486046E-3</c:v>
                </c:pt>
                <c:pt idx="2">
                  <c:v>0</c:v>
                </c:pt>
              </c:numCache>
            </c:numRef>
          </c:val>
          <c:extLst>
            <c:ext xmlns:c16="http://schemas.microsoft.com/office/drawing/2014/chart" uri="{C3380CC4-5D6E-409C-BE32-E72D297353CC}">
              <c16:uniqueId val="{00000004-BE23-4D8A-8B63-A1E94E1BED9A}"/>
            </c:ext>
          </c:extLst>
        </c:ser>
        <c:ser>
          <c:idx val="5"/>
          <c:order val="5"/>
          <c:tx>
            <c:strRef>
              <c:f>'Area VIIa nephrops o250kW'!$B$167</c:f>
              <c:strCache>
                <c:ptCount val="1"/>
                <c:pt idx="0">
                  <c:v>Cod</c:v>
                </c:pt>
              </c:strCache>
            </c:strRef>
          </c:tx>
          <c:spPr>
            <a:solidFill>
              <a:srgbClr val="E84A38"/>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o250kW'!$C$167:$E$167</c:f>
              <c:numCache>
                <c:formatCode>0%</c:formatCode>
                <c:ptCount val="3"/>
                <c:pt idx="0">
                  <c:v>1.1020203246137283E-3</c:v>
                </c:pt>
                <c:pt idx="1">
                  <c:v>0</c:v>
                </c:pt>
                <c:pt idx="2">
                  <c:v>9.6016891460168584E-3</c:v>
                </c:pt>
              </c:numCache>
            </c:numRef>
          </c:val>
          <c:extLst>
            <c:ext xmlns:c16="http://schemas.microsoft.com/office/drawing/2014/chart" uri="{C3380CC4-5D6E-409C-BE32-E72D297353CC}">
              <c16:uniqueId val="{00000005-BE23-4D8A-8B63-A1E94E1BED9A}"/>
            </c:ext>
          </c:extLst>
        </c:ser>
        <c:ser>
          <c:idx val="6"/>
          <c:order val="6"/>
          <c:tx>
            <c:strRef>
              <c:f>'Area VIIa nephrops o250kW'!$B$168</c:f>
              <c:strCache>
                <c:ptCount val="1"/>
                <c:pt idx="0">
                  <c:v>Others</c:v>
                </c:pt>
              </c:strCache>
            </c:strRef>
          </c:tx>
          <c:spPr>
            <a:solidFill>
              <a:srgbClr val="55585A"/>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o250kW'!$C$168:$E$168</c:f>
              <c:numCache>
                <c:formatCode>0%</c:formatCode>
                <c:ptCount val="3"/>
                <c:pt idx="0">
                  <c:v>0.60063113625084907</c:v>
                </c:pt>
                <c:pt idx="1">
                  <c:v>1.4764937795532895E-2</c:v>
                </c:pt>
                <c:pt idx="2">
                  <c:v>2.0667040636259681E-2</c:v>
                </c:pt>
              </c:numCache>
            </c:numRef>
          </c:val>
          <c:extLst>
            <c:ext xmlns:c16="http://schemas.microsoft.com/office/drawing/2014/chart" uri="{C3380CC4-5D6E-409C-BE32-E72D297353CC}">
              <c16:uniqueId val="{00000006-BE23-4D8A-8B63-A1E94E1BED9A}"/>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10-12m'!$K$48</c:f>
          <c:strCache>
            <c:ptCount val="1"/>
            <c:pt idx="0">
              <c:v>Operating profit per kW day at sea (£)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E98D-4654-9311-BF79450733ED}"/>
              </c:ext>
            </c:extLst>
          </c:dPt>
          <c:dPt>
            <c:idx val="10"/>
            <c:bubble3D val="0"/>
            <c:spPr>
              <a:ln w="57150">
                <a:solidFill>
                  <a:schemeClr val="accent3"/>
                </a:solidFill>
                <a:prstDash val="sysDot"/>
              </a:ln>
            </c:spPr>
            <c:extLst>
              <c:ext xmlns:c16="http://schemas.microsoft.com/office/drawing/2014/chart" uri="{C3380CC4-5D6E-409C-BE32-E72D297353CC}">
                <c16:uniqueId val="{00000003-E98D-4654-9311-BF79450733ED}"/>
              </c:ext>
            </c:extLst>
          </c:dPt>
          <c:cat>
            <c:numRef>
              <c:f>'Pots and traps 10-12m'!$D$2:$N$2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'Pots and traps 10-12m'!$D$24:$N$24</c:f>
              <c:numCache>
                <c:formatCode>#,##0.00</c:formatCode>
                <c:ptCount val="11"/>
                <c:pt idx="0">
                  <c:v>0.82534859536295702</c:v>
                </c:pt>
                <c:pt idx="1">
                  <c:v>1.9727926457451399</c:v>
                </c:pt>
                <c:pt idx="2">
                  <c:v>1.33017364023523</c:v>
                </c:pt>
                <c:pt idx="3">
                  <c:v>1.7643673208175601</c:v>
                </c:pt>
                <c:pt idx="4">
                  <c:v>2.2135657984856398</c:v>
                </c:pt>
                <c:pt idx="5">
                  <c:v>2.4516892067268201</c:v>
                </c:pt>
                <c:pt idx="6">
                  <c:v>3.0404125735411198</c:v>
                </c:pt>
                <c:pt idx="7">
                  <c:v>3.2572945375503899</c:v>
                </c:pt>
                <c:pt idx="8">
                  <c:v>2.7580247717108199</c:v>
                </c:pt>
                <c:pt idx="9">
                  <c:v>2.2362890179303201</c:v>
                </c:pt>
                <c:pt idx="10">
                  <c:v>2.6264468012604683</c:v>
                </c:pt>
              </c:numCache>
            </c:numRef>
          </c:val>
          <c:smooth val="0"/>
          <c:extLst>
            <c:ext xmlns:c16="http://schemas.microsoft.com/office/drawing/2014/chart" uri="{C3380CC4-5D6E-409C-BE32-E72D297353CC}">
              <c16:uniqueId val="{00000004-E98D-4654-9311-BF79450733ED}"/>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10-12m'!$A$50</c:f>
          <c:strCache>
            <c:ptCount val="1"/>
            <c:pt idx="0">
              <c:v>Average price per tonne landed (£)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5D87-482D-8672-3B075911D3C8}"/>
              </c:ext>
            </c:extLst>
          </c:dPt>
          <c:dPt>
            <c:idx val="10"/>
            <c:bubble3D val="0"/>
            <c:spPr>
              <a:ln w="57150">
                <a:solidFill>
                  <a:schemeClr val="accent4"/>
                </a:solidFill>
                <a:prstDash val="sysDot"/>
              </a:ln>
            </c:spPr>
            <c:extLst>
              <c:ext xmlns:c16="http://schemas.microsoft.com/office/drawing/2014/chart" uri="{C3380CC4-5D6E-409C-BE32-E72D297353CC}">
                <c16:uniqueId val="{00000003-5D87-482D-8672-3B075911D3C8}"/>
              </c:ext>
            </c:extLst>
          </c:dPt>
          <c:cat>
            <c:numRef>
              <c:f>'Pots and traps 10-12m'!$D$2:$M$2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'Pots and traps 10-12m'!$D$20:$N$20</c:f>
              <c:numCache>
                <c:formatCode>#,##0</c:formatCode>
                <c:ptCount val="11"/>
                <c:pt idx="0">
                  <c:v>2480</c:v>
                </c:pt>
                <c:pt idx="1">
                  <c:v>2337</c:v>
                </c:pt>
                <c:pt idx="2">
                  <c:v>2014</c:v>
                </c:pt>
                <c:pt idx="3">
                  <c:v>2229</c:v>
                </c:pt>
                <c:pt idx="4">
                  <c:v>2293</c:v>
                </c:pt>
                <c:pt idx="5">
                  <c:v>2359</c:v>
                </c:pt>
                <c:pt idx="6">
                  <c:v>2672</c:v>
                </c:pt>
                <c:pt idx="7">
                  <c:v>3292</c:v>
                </c:pt>
                <c:pt idx="8">
                  <c:v>3360</c:v>
                </c:pt>
                <c:pt idx="9">
                  <c:v>2757</c:v>
                </c:pt>
                <c:pt idx="10">
                  <c:v>3474</c:v>
                </c:pt>
              </c:numCache>
            </c:numRef>
          </c:val>
          <c:smooth val="0"/>
          <c:extLst>
            <c:ext xmlns:c16="http://schemas.microsoft.com/office/drawing/2014/chart" uri="{C3380CC4-5D6E-409C-BE32-E72D297353CC}">
              <c16:uniqueId val="{00000004-5D87-482D-8672-3B075911D3C8}"/>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10-12m'!$K$62</c:f>
          <c:strCache>
            <c:ptCount val="1"/>
            <c:pt idx="0">
              <c:v>Average annual operating profit per vessel (£'000)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7F9D-4716-B05F-AAD60B3DE01B}"/>
              </c:ext>
            </c:extLst>
          </c:dPt>
          <c:dPt>
            <c:idx val="10"/>
            <c:bubble3D val="0"/>
            <c:spPr>
              <a:ln w="57150">
                <a:solidFill>
                  <a:schemeClr val="accent5"/>
                </a:solidFill>
                <a:prstDash val="sysDot"/>
              </a:ln>
            </c:spPr>
            <c:extLst>
              <c:ext xmlns:c16="http://schemas.microsoft.com/office/drawing/2014/chart" uri="{C3380CC4-5D6E-409C-BE32-E72D297353CC}">
                <c16:uniqueId val="{00000003-7F9D-4716-B05F-AAD60B3DE01B}"/>
              </c:ext>
            </c:extLst>
          </c:dPt>
          <c:cat>
            <c:numRef>
              <c:f>'Pots and traps 10-12m'!$D$2:$M$2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'Pots and traps 10-12m'!$D$37:$N$37</c:f>
              <c:numCache>
                <c:formatCode>#,##0.0</c:formatCode>
                <c:ptCount val="11"/>
                <c:pt idx="0">
                  <c:v>16.600000000000001</c:v>
                </c:pt>
                <c:pt idx="1">
                  <c:v>39.9</c:v>
                </c:pt>
                <c:pt idx="2">
                  <c:v>26.9</c:v>
                </c:pt>
                <c:pt idx="3">
                  <c:v>37.9</c:v>
                </c:pt>
                <c:pt idx="4">
                  <c:v>49.2</c:v>
                </c:pt>
                <c:pt idx="5">
                  <c:v>53.6</c:v>
                </c:pt>
                <c:pt idx="6">
                  <c:v>64.2</c:v>
                </c:pt>
                <c:pt idx="7">
                  <c:v>68.900000000000006</c:v>
                </c:pt>
                <c:pt idx="8">
                  <c:v>63.9</c:v>
                </c:pt>
                <c:pt idx="9">
                  <c:v>44.8</c:v>
                </c:pt>
                <c:pt idx="10">
                  <c:v>56.4</c:v>
                </c:pt>
              </c:numCache>
            </c:numRef>
          </c:val>
          <c:smooth val="0"/>
          <c:extLst>
            <c:ext xmlns:c16="http://schemas.microsoft.com/office/drawing/2014/chart" uri="{C3380CC4-5D6E-409C-BE32-E72D297353CC}">
              <c16:uniqueId val="{00000004-7F9D-4716-B05F-AAD60B3DE01B}"/>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10-12m'!$A$76</c:f>
          <c:strCache>
            <c:ptCount val="1"/>
            <c:pt idx="0">
              <c:v>Top 5 landed species by volume in 2020
Pots and traps 10-12m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648C2E"/>
              </a:solidFill>
              <a:ln>
                <a:solidFill>
                  <a:srgbClr val="FFFFFF"/>
                </a:solidFill>
              </a:ln>
            </c:spPr>
            <c:extLst>
              <c:ext xmlns:c16="http://schemas.microsoft.com/office/drawing/2014/chart" uri="{C3380CC4-5D6E-409C-BE32-E72D297353CC}">
                <c16:uniqueId val="{00000001-01E2-4B5E-9EE6-852A976D440D}"/>
              </c:ext>
            </c:extLst>
          </c:dPt>
          <c:dPt>
            <c:idx val="1"/>
            <c:bubble3D val="0"/>
            <c:spPr>
              <a:solidFill>
                <a:srgbClr val="E87308"/>
              </a:solidFill>
              <a:ln>
                <a:solidFill>
                  <a:srgbClr val="FFFFFF"/>
                </a:solidFill>
              </a:ln>
            </c:spPr>
            <c:extLst>
              <c:ext xmlns:c16="http://schemas.microsoft.com/office/drawing/2014/chart" uri="{C3380CC4-5D6E-409C-BE32-E72D297353CC}">
                <c16:uniqueId val="{00000003-01E2-4B5E-9EE6-852A976D440D}"/>
              </c:ext>
            </c:extLst>
          </c:dPt>
          <c:dPt>
            <c:idx val="2"/>
            <c:bubble3D val="0"/>
            <c:spPr>
              <a:solidFill>
                <a:srgbClr val="2273B9"/>
              </a:solidFill>
              <a:ln>
                <a:solidFill>
                  <a:srgbClr val="FFFFFF"/>
                </a:solidFill>
              </a:ln>
            </c:spPr>
            <c:extLst>
              <c:ext xmlns:c16="http://schemas.microsoft.com/office/drawing/2014/chart" uri="{C3380CC4-5D6E-409C-BE32-E72D297353CC}">
                <c16:uniqueId val="{00000005-01E2-4B5E-9EE6-852A976D440D}"/>
              </c:ext>
            </c:extLst>
          </c:dPt>
          <c:dPt>
            <c:idx val="3"/>
            <c:bubble3D val="0"/>
            <c:spPr>
              <a:solidFill>
                <a:srgbClr val="C1D119"/>
              </a:solidFill>
              <a:ln>
                <a:solidFill>
                  <a:srgbClr val="FFFFFF"/>
                </a:solidFill>
              </a:ln>
            </c:spPr>
            <c:extLst>
              <c:ext xmlns:c16="http://schemas.microsoft.com/office/drawing/2014/chart" uri="{C3380CC4-5D6E-409C-BE32-E72D297353CC}">
                <c16:uniqueId val="{00000007-01E2-4B5E-9EE6-852A976D440D}"/>
              </c:ext>
            </c:extLst>
          </c:dPt>
          <c:dPt>
            <c:idx val="4"/>
            <c:bubble3D val="0"/>
            <c:spPr>
              <a:solidFill>
                <a:srgbClr val="E84A38"/>
              </a:solidFill>
              <a:ln>
                <a:solidFill>
                  <a:srgbClr val="FFFFFF"/>
                </a:solidFill>
              </a:ln>
            </c:spPr>
            <c:extLst>
              <c:ext xmlns:c16="http://schemas.microsoft.com/office/drawing/2014/chart" uri="{C3380CC4-5D6E-409C-BE32-E72D297353CC}">
                <c16:uniqueId val="{00000009-01E2-4B5E-9EE6-852A976D440D}"/>
              </c:ext>
            </c:extLst>
          </c:dPt>
          <c:dPt>
            <c:idx val="5"/>
            <c:bubble3D val="0"/>
            <c:spPr>
              <a:solidFill>
                <a:srgbClr val="55585A"/>
              </a:solidFill>
              <a:ln>
                <a:solidFill>
                  <a:srgbClr val="FFFFFF"/>
                </a:solidFill>
              </a:ln>
            </c:spPr>
            <c:extLst>
              <c:ext xmlns:c16="http://schemas.microsoft.com/office/drawing/2014/chart" uri="{C3380CC4-5D6E-409C-BE32-E72D297353CC}">
                <c16:uniqueId val="{0000000B-01E2-4B5E-9EE6-852A976D440D}"/>
              </c:ext>
            </c:extLst>
          </c:dPt>
          <c:cat>
            <c:strRef>
              <c:f>'Pots and traps 10-12m'!$B$77:$B$82</c:f>
              <c:strCache>
                <c:ptCount val="6"/>
                <c:pt idx="0">
                  <c:v>Whelks - 44.6%</c:v>
                </c:pt>
                <c:pt idx="1">
                  <c:v>Brown Crab - 37.6%</c:v>
                </c:pt>
                <c:pt idx="2">
                  <c:v>Lobsters - 6.5%</c:v>
                </c:pt>
                <c:pt idx="3">
                  <c:v>Nephrops - 5.0%</c:v>
                </c:pt>
                <c:pt idx="4">
                  <c:v>Velvet Crab - 2.7%</c:v>
                </c:pt>
                <c:pt idx="5">
                  <c:v>Others - 3.5%</c:v>
                </c:pt>
              </c:strCache>
            </c:strRef>
          </c:cat>
          <c:val>
            <c:numRef>
              <c:f>'Pots and traps 10-12m'!$C$77:$C$82</c:f>
              <c:numCache>
                <c:formatCode>0.0%</c:formatCode>
                <c:ptCount val="6"/>
                <c:pt idx="0">
                  <c:v>0.44640558396766461</c:v>
                </c:pt>
                <c:pt idx="1">
                  <c:v>0.37607143994616793</c:v>
                </c:pt>
                <c:pt idx="2">
                  <c:v>6.4843469589480979E-2</c:v>
                </c:pt>
                <c:pt idx="3">
                  <c:v>5.0192237028368211E-2</c:v>
                </c:pt>
                <c:pt idx="4">
                  <c:v>2.7451709814522048E-2</c:v>
                </c:pt>
                <c:pt idx="5">
                  <c:v>3.5035559653796233E-2</c:v>
                </c:pt>
              </c:numCache>
            </c:numRef>
          </c:val>
          <c:extLst>
            <c:ext xmlns:c16="http://schemas.microsoft.com/office/drawing/2014/chart" uri="{C3380CC4-5D6E-409C-BE32-E72D297353CC}">
              <c16:uniqueId val="{0000000C-01E2-4B5E-9EE6-852A976D440D}"/>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10-12m'!$F$76</c:f>
          <c:strCache>
            <c:ptCount val="1"/>
            <c:pt idx="0">
              <c:v>Top 5 landed species by value in 2020
Pots and traps 10-12m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24FC-40D8-9097-18C8045FD781}"/>
              </c:ext>
            </c:extLst>
          </c:dPt>
          <c:dPt>
            <c:idx val="1"/>
            <c:bubble3D val="0"/>
            <c:spPr>
              <a:solidFill>
                <a:srgbClr val="E87308"/>
              </a:solidFill>
              <a:ln>
                <a:solidFill>
                  <a:srgbClr val="FFFFFF"/>
                </a:solidFill>
              </a:ln>
            </c:spPr>
            <c:extLst>
              <c:ext xmlns:c16="http://schemas.microsoft.com/office/drawing/2014/chart" uri="{C3380CC4-5D6E-409C-BE32-E72D297353CC}">
                <c16:uniqueId val="{00000003-24FC-40D8-9097-18C8045FD781}"/>
              </c:ext>
            </c:extLst>
          </c:dPt>
          <c:dPt>
            <c:idx val="2"/>
            <c:bubble3D val="0"/>
            <c:spPr>
              <a:solidFill>
                <a:srgbClr val="648C2E"/>
              </a:solidFill>
              <a:ln>
                <a:solidFill>
                  <a:srgbClr val="FFFFFF"/>
                </a:solidFill>
              </a:ln>
            </c:spPr>
            <c:extLst>
              <c:ext xmlns:c16="http://schemas.microsoft.com/office/drawing/2014/chart" uri="{C3380CC4-5D6E-409C-BE32-E72D297353CC}">
                <c16:uniqueId val="{00000005-24FC-40D8-9097-18C8045FD781}"/>
              </c:ext>
            </c:extLst>
          </c:dPt>
          <c:dPt>
            <c:idx val="3"/>
            <c:bubble3D val="0"/>
            <c:spPr>
              <a:solidFill>
                <a:srgbClr val="C1D119"/>
              </a:solidFill>
              <a:ln>
                <a:solidFill>
                  <a:srgbClr val="FFFFFF"/>
                </a:solidFill>
              </a:ln>
            </c:spPr>
            <c:extLst>
              <c:ext xmlns:c16="http://schemas.microsoft.com/office/drawing/2014/chart" uri="{C3380CC4-5D6E-409C-BE32-E72D297353CC}">
                <c16:uniqueId val="{00000007-24FC-40D8-9097-18C8045FD781}"/>
              </c:ext>
            </c:extLst>
          </c:dPt>
          <c:dPt>
            <c:idx val="4"/>
            <c:bubble3D val="0"/>
            <c:spPr>
              <a:solidFill>
                <a:srgbClr val="E84A38"/>
              </a:solidFill>
              <a:ln>
                <a:solidFill>
                  <a:srgbClr val="FFFFFF"/>
                </a:solidFill>
              </a:ln>
            </c:spPr>
            <c:extLst>
              <c:ext xmlns:c16="http://schemas.microsoft.com/office/drawing/2014/chart" uri="{C3380CC4-5D6E-409C-BE32-E72D297353CC}">
                <c16:uniqueId val="{00000009-24FC-40D8-9097-18C8045FD781}"/>
              </c:ext>
            </c:extLst>
          </c:dPt>
          <c:dPt>
            <c:idx val="5"/>
            <c:bubble3D val="0"/>
            <c:spPr>
              <a:solidFill>
                <a:srgbClr val="55585A"/>
              </a:solidFill>
              <a:ln>
                <a:solidFill>
                  <a:srgbClr val="FFFFFF"/>
                </a:solidFill>
              </a:ln>
            </c:spPr>
            <c:extLst>
              <c:ext xmlns:c16="http://schemas.microsoft.com/office/drawing/2014/chart" uri="{C3380CC4-5D6E-409C-BE32-E72D297353CC}">
                <c16:uniqueId val="{0000000B-24FC-40D8-9097-18C8045FD781}"/>
              </c:ext>
            </c:extLst>
          </c:dPt>
          <c:cat>
            <c:strRef>
              <c:f>'Pots and traps 10-12m'!$G$77:$G$82</c:f>
              <c:strCache>
                <c:ptCount val="6"/>
                <c:pt idx="0">
                  <c:v>Lobsters - 31.0%</c:v>
                </c:pt>
                <c:pt idx="1">
                  <c:v>Brown Crab - 24.8%</c:v>
                </c:pt>
                <c:pt idx="2">
                  <c:v>Whelks - 19.4%</c:v>
                </c:pt>
                <c:pt idx="3">
                  <c:v>Nephrops - 17.7%</c:v>
                </c:pt>
                <c:pt idx="4">
                  <c:v>Velvet Crab - 2.6%</c:v>
                </c:pt>
                <c:pt idx="5">
                  <c:v>Others - 4.5%</c:v>
                </c:pt>
              </c:strCache>
            </c:strRef>
          </c:cat>
          <c:val>
            <c:numRef>
              <c:f>'Pots and traps 10-12m'!$H$77:$H$82</c:f>
              <c:numCache>
                <c:formatCode>0.0%</c:formatCode>
                <c:ptCount val="6"/>
                <c:pt idx="0">
                  <c:v>0.30999200591840764</c:v>
                </c:pt>
                <c:pt idx="1">
                  <c:v>0.24772239615585587</c:v>
                </c:pt>
                <c:pt idx="2">
                  <c:v>0.19407700427962932</c:v>
                </c:pt>
                <c:pt idx="3">
                  <c:v>0.17711220644711514</c:v>
                </c:pt>
                <c:pt idx="4">
                  <c:v>2.5886595238207178E-2</c:v>
                </c:pt>
                <c:pt idx="5">
                  <c:v>4.5209791960784895E-2</c:v>
                </c:pt>
              </c:numCache>
            </c:numRef>
          </c:val>
          <c:extLst>
            <c:ext xmlns:c16="http://schemas.microsoft.com/office/drawing/2014/chart" uri="{C3380CC4-5D6E-409C-BE32-E72D297353CC}">
              <c16:uniqueId val="{0000000C-24FC-40D8-9097-18C8045FD781}"/>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10-12m'!$K$77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'Pots and traps 10-12m'!$C$92</c:f>
              <c:strCache>
                <c:ptCount val="1"/>
                <c:pt idx="0">
                  <c:v>Lobsters</c:v>
                </c:pt>
              </c:strCache>
            </c:strRef>
          </c:tx>
          <c:spPr>
            <a:solidFill>
              <a:srgbClr val="2273B9"/>
            </a:solidFill>
            <a:ln>
              <a:solidFill>
                <a:srgbClr val="FFFFFF"/>
              </a:solidFill>
            </a:ln>
          </c:spPr>
          <c:invertIfNegative val="0"/>
          <c:cat>
            <c:numRef>
              <c:f>'Pots and traps 10-12m'!$D$91:$M$91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'Pots and traps 10-12m'!$D$92:$M$92</c:f>
              <c:numCache>
                <c:formatCode>0%</c:formatCode>
                <c:ptCount val="10"/>
                <c:pt idx="0">
                  <c:v>0.28905276002618618</c:v>
                </c:pt>
                <c:pt idx="1">
                  <c:v>0.29055980856990427</c:v>
                </c:pt>
                <c:pt idx="2">
                  <c:v>0.2786689503545382</c:v>
                </c:pt>
                <c:pt idx="3">
                  <c:v>0.28195074395456021</c:v>
                </c:pt>
                <c:pt idx="4">
                  <c:v>0.27612524046021036</c:v>
                </c:pt>
                <c:pt idx="5">
                  <c:v>0.28881057966249024</c:v>
                </c:pt>
                <c:pt idx="6">
                  <c:v>0.27653088037495915</c:v>
                </c:pt>
                <c:pt idx="7">
                  <c:v>0.27482878762667445</c:v>
                </c:pt>
                <c:pt idx="8">
                  <c:v>0.30999200591840764</c:v>
                </c:pt>
                <c:pt idx="9">
                  <c:v>0.29282105553903087</c:v>
                </c:pt>
              </c:numCache>
            </c:numRef>
          </c:val>
          <c:extLst>
            <c:ext xmlns:c16="http://schemas.microsoft.com/office/drawing/2014/chart" uri="{C3380CC4-5D6E-409C-BE32-E72D297353CC}">
              <c16:uniqueId val="{00000000-BD24-4075-8E46-E0F4C0E433EC}"/>
            </c:ext>
          </c:extLst>
        </c:ser>
        <c:ser>
          <c:idx val="1"/>
          <c:order val="1"/>
          <c:tx>
            <c:strRef>
              <c:f>'Pots and traps 10-12m'!$C$93</c:f>
              <c:strCache>
                <c:ptCount val="1"/>
                <c:pt idx="0">
                  <c:v>Brown Crab</c:v>
                </c:pt>
              </c:strCache>
            </c:strRef>
          </c:tx>
          <c:spPr>
            <a:solidFill>
              <a:srgbClr val="E87308"/>
            </a:solidFill>
            <a:ln>
              <a:solidFill>
                <a:srgbClr val="FFFFFF"/>
              </a:solidFill>
            </a:ln>
          </c:spPr>
          <c:invertIfNegative val="0"/>
          <c:cat>
            <c:numRef>
              <c:f>'Pots and traps 10-12m'!$D$91:$M$91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'Pots and traps 10-12m'!$D$93:$M$93</c:f>
              <c:numCache>
                <c:formatCode>0%</c:formatCode>
                <c:ptCount val="10"/>
                <c:pt idx="0">
                  <c:v>0.30345682435653804</c:v>
                </c:pt>
                <c:pt idx="1">
                  <c:v>0.27963510888633242</c:v>
                </c:pt>
                <c:pt idx="2">
                  <c:v>0.29534193075888704</c:v>
                </c:pt>
                <c:pt idx="3">
                  <c:v>0.2392915715756935</c:v>
                </c:pt>
                <c:pt idx="4">
                  <c:v>0.26074197936443627</c:v>
                </c:pt>
                <c:pt idx="5">
                  <c:v>0.28664376251781215</c:v>
                </c:pt>
                <c:pt idx="6">
                  <c:v>0.35610866888787479</c:v>
                </c:pt>
                <c:pt idx="7">
                  <c:v>0.35678706780609304</c:v>
                </c:pt>
                <c:pt idx="8">
                  <c:v>0.24772239615585587</c:v>
                </c:pt>
                <c:pt idx="9">
                  <c:v>0.32288646487797007</c:v>
                </c:pt>
              </c:numCache>
            </c:numRef>
          </c:val>
          <c:extLst>
            <c:ext xmlns:c16="http://schemas.microsoft.com/office/drawing/2014/chart" uri="{C3380CC4-5D6E-409C-BE32-E72D297353CC}">
              <c16:uniqueId val="{00000001-BD24-4075-8E46-E0F4C0E433EC}"/>
            </c:ext>
          </c:extLst>
        </c:ser>
        <c:ser>
          <c:idx val="2"/>
          <c:order val="2"/>
          <c:tx>
            <c:strRef>
              <c:f>'Pots and traps 10-12m'!$C$94</c:f>
              <c:strCache>
                <c:ptCount val="1"/>
                <c:pt idx="0">
                  <c:v>Whelks</c:v>
                </c:pt>
              </c:strCache>
            </c:strRef>
          </c:tx>
          <c:spPr>
            <a:solidFill>
              <a:srgbClr val="648C2E"/>
            </a:solidFill>
            <a:ln>
              <a:solidFill>
                <a:srgbClr val="FFFFFF"/>
              </a:solidFill>
            </a:ln>
          </c:spPr>
          <c:invertIfNegative val="0"/>
          <c:cat>
            <c:numRef>
              <c:f>'Pots and traps 10-12m'!$D$91:$M$91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'Pots and traps 10-12m'!$D$94:$M$94</c:f>
              <c:numCache>
                <c:formatCode>0%</c:formatCode>
                <c:ptCount val="10"/>
                <c:pt idx="0">
                  <c:v>0.10513912221833092</c:v>
                </c:pt>
                <c:pt idx="1">
                  <c:v>0.12550659003101039</c:v>
                </c:pt>
                <c:pt idx="2">
                  <c:v>0.14715178025286124</c:v>
                </c:pt>
                <c:pt idx="3">
                  <c:v>0.18638991569836347</c:v>
                </c:pt>
                <c:pt idx="4">
                  <c:v>0.21150720237268913</c:v>
                </c:pt>
                <c:pt idx="5">
                  <c:v>0.1886334457914583</c:v>
                </c:pt>
                <c:pt idx="6">
                  <c:v>0.15683679034065331</c:v>
                </c:pt>
                <c:pt idx="7">
                  <c:v>0.12919020204753781</c:v>
                </c:pt>
                <c:pt idx="8">
                  <c:v>0.19407700427962932</c:v>
                </c:pt>
                <c:pt idx="9">
                  <c:v>0.12371208921002232</c:v>
                </c:pt>
              </c:numCache>
            </c:numRef>
          </c:val>
          <c:extLst>
            <c:ext xmlns:c16="http://schemas.microsoft.com/office/drawing/2014/chart" uri="{C3380CC4-5D6E-409C-BE32-E72D297353CC}">
              <c16:uniqueId val="{00000002-BD24-4075-8E46-E0F4C0E433EC}"/>
            </c:ext>
          </c:extLst>
        </c:ser>
        <c:ser>
          <c:idx val="3"/>
          <c:order val="3"/>
          <c:tx>
            <c:strRef>
              <c:f>'Pots and traps 10-12m'!$C$95</c:f>
              <c:strCache>
                <c:ptCount val="1"/>
                <c:pt idx="0">
                  <c:v>Nephrops</c:v>
                </c:pt>
              </c:strCache>
            </c:strRef>
          </c:tx>
          <c:spPr>
            <a:solidFill>
              <a:srgbClr val="C1D119"/>
            </a:solidFill>
            <a:ln>
              <a:solidFill>
                <a:srgbClr val="FFFFFF"/>
              </a:solidFill>
            </a:ln>
          </c:spPr>
          <c:invertIfNegative val="0"/>
          <c:cat>
            <c:numRef>
              <c:f>'Pots and traps 10-12m'!$D$91:$M$91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'Pots and traps 10-12m'!$D$95:$M$95</c:f>
              <c:numCache>
                <c:formatCode>0%</c:formatCode>
                <c:ptCount val="10"/>
                <c:pt idx="0">
                  <c:v>0.21573275756796764</c:v>
                </c:pt>
                <c:pt idx="1">
                  <c:v>0.22001879956252138</c:v>
                </c:pt>
                <c:pt idx="2">
                  <c:v>0.20124406961519797</c:v>
                </c:pt>
                <c:pt idx="3">
                  <c:v>0.22509449096632383</c:v>
                </c:pt>
                <c:pt idx="4">
                  <c:v>0.18852501413519521</c:v>
                </c:pt>
                <c:pt idx="5">
                  <c:v>0.17690576274987524</c:v>
                </c:pt>
                <c:pt idx="6">
                  <c:v>0.15963989594755146</c:v>
                </c:pt>
                <c:pt idx="7">
                  <c:v>0.17451126627235675</c:v>
                </c:pt>
                <c:pt idx="8">
                  <c:v>0.17711220644711514</c:v>
                </c:pt>
                <c:pt idx="9">
                  <c:v>0.18804244864148845</c:v>
                </c:pt>
              </c:numCache>
            </c:numRef>
          </c:val>
          <c:extLst>
            <c:ext xmlns:c16="http://schemas.microsoft.com/office/drawing/2014/chart" uri="{C3380CC4-5D6E-409C-BE32-E72D297353CC}">
              <c16:uniqueId val="{00000003-BD24-4075-8E46-E0F4C0E433EC}"/>
            </c:ext>
          </c:extLst>
        </c:ser>
        <c:ser>
          <c:idx val="4"/>
          <c:order val="4"/>
          <c:tx>
            <c:strRef>
              <c:f>'Pots and traps 10-12m'!$C$96</c:f>
              <c:strCache>
                <c:ptCount val="1"/>
                <c:pt idx="0">
                  <c:v>Velvet Crab</c:v>
                </c:pt>
              </c:strCache>
            </c:strRef>
          </c:tx>
          <c:spPr>
            <a:solidFill>
              <a:srgbClr val="E84A38"/>
            </a:solidFill>
            <a:ln>
              <a:solidFill>
                <a:srgbClr val="FFFFFF"/>
              </a:solidFill>
            </a:ln>
          </c:spPr>
          <c:invertIfNegative val="0"/>
          <c:cat>
            <c:numRef>
              <c:f>'Pots and traps 10-12m'!$D$91:$M$91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'Pots and traps 10-12m'!$D$96:$M$96</c:f>
              <c:numCache>
                <c:formatCode>0%</c:formatCode>
                <c:ptCount val="10"/>
                <c:pt idx="0">
                  <c:v>4.172902261504241E-2</c:v>
                </c:pt>
                <c:pt idx="1">
                  <c:v>4.2673539086851703E-2</c:v>
                </c:pt>
                <c:pt idx="2">
                  <c:v>4.241261186742562E-2</c:v>
                </c:pt>
                <c:pt idx="3">
                  <c:v>3.9869304856334088E-2</c:v>
                </c:pt>
                <c:pt idx="4">
                  <c:v>2.9449429593776548E-2</c:v>
                </c:pt>
                <c:pt idx="5">
                  <c:v>2.7005484016674696E-2</c:v>
                </c:pt>
                <c:pt idx="6">
                  <c:v>1.7046427841617192E-2</c:v>
                </c:pt>
                <c:pt idx="7">
                  <c:v>2.1116294173586448E-2</c:v>
                </c:pt>
                <c:pt idx="8">
                  <c:v>2.5886595238207178E-2</c:v>
                </c:pt>
                <c:pt idx="9">
                  <c:v>2.7157160961187376E-2</c:v>
                </c:pt>
              </c:numCache>
            </c:numRef>
          </c:val>
          <c:extLst>
            <c:ext xmlns:c16="http://schemas.microsoft.com/office/drawing/2014/chart" uri="{C3380CC4-5D6E-409C-BE32-E72D297353CC}">
              <c16:uniqueId val="{00000004-BD24-4075-8E46-E0F4C0E433EC}"/>
            </c:ext>
          </c:extLst>
        </c:ser>
        <c:ser>
          <c:idx val="5"/>
          <c:order val="5"/>
          <c:tx>
            <c:strRef>
              <c:f>'Pots and traps 10-12m'!$C$97</c:f>
              <c:strCache>
                <c:ptCount val="1"/>
                <c:pt idx="0">
                  <c:v>Others</c:v>
                </c:pt>
              </c:strCache>
            </c:strRef>
          </c:tx>
          <c:spPr>
            <a:solidFill>
              <a:srgbClr val="55585A"/>
            </a:solidFill>
            <a:ln>
              <a:solidFill>
                <a:srgbClr val="FFFFFF"/>
              </a:solidFill>
            </a:ln>
          </c:spPr>
          <c:invertIfNegative val="0"/>
          <c:cat>
            <c:numRef>
              <c:f>'Pots and traps 10-12m'!$D$91:$M$91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'Pots and traps 10-12m'!$D$97:$M$97</c:f>
              <c:numCache>
                <c:formatCode>0%</c:formatCode>
                <c:ptCount val="10"/>
                <c:pt idx="0">
                  <c:v>4.4889513215934845E-2</c:v>
                </c:pt>
                <c:pt idx="1">
                  <c:v>4.1606153863379867E-2</c:v>
                </c:pt>
                <c:pt idx="2">
                  <c:v>3.5180657151089902E-2</c:v>
                </c:pt>
                <c:pt idx="3">
                  <c:v>2.7403972948724899E-2</c:v>
                </c:pt>
                <c:pt idx="4">
                  <c:v>3.3651134073692426E-2</c:v>
                </c:pt>
                <c:pt idx="5">
                  <c:v>3.2000965261689371E-2</c:v>
                </c:pt>
                <c:pt idx="6">
                  <c:v>3.3837336607344094E-2</c:v>
                </c:pt>
                <c:pt idx="7">
                  <c:v>4.3566382073751513E-2</c:v>
                </c:pt>
                <c:pt idx="8">
                  <c:v>4.520979196078484E-2</c:v>
                </c:pt>
                <c:pt idx="9">
                  <c:v>4.5380780770300909E-2</c:v>
                </c:pt>
              </c:numCache>
            </c:numRef>
          </c:val>
          <c:extLst>
            <c:ext xmlns:c16="http://schemas.microsoft.com/office/drawing/2014/chart" uri="{C3380CC4-5D6E-409C-BE32-E72D297353CC}">
              <c16:uniqueId val="{00000005-BD24-4075-8E46-E0F4C0E433EC}"/>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'Pots and traps 10-12m'!$B$162</c:f>
              <c:strCache>
                <c:ptCount val="1"/>
                <c:pt idx="0">
                  <c:v>Whelks</c:v>
                </c:pt>
              </c:strCache>
            </c:strRef>
          </c:tx>
          <c:spPr>
            <a:solidFill>
              <a:srgbClr val="648C2E"/>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10-12m'!$C$162:$E$162</c:f>
              <c:numCache>
                <c:formatCode>0%</c:formatCode>
                <c:ptCount val="3"/>
                <c:pt idx="0">
                  <c:v>0.10362208640458986</c:v>
                </c:pt>
                <c:pt idx="1">
                  <c:v>0.48074727036431963</c:v>
                </c:pt>
                <c:pt idx="2">
                  <c:v>0.4001275924363113</c:v>
                </c:pt>
              </c:numCache>
            </c:numRef>
          </c:val>
          <c:extLst>
            <c:ext xmlns:c16="http://schemas.microsoft.com/office/drawing/2014/chart" uri="{C3380CC4-5D6E-409C-BE32-E72D297353CC}">
              <c16:uniqueId val="{00000000-2638-42D6-8AD6-7CD64AC55948}"/>
            </c:ext>
          </c:extLst>
        </c:ser>
        <c:ser>
          <c:idx val="1"/>
          <c:order val="1"/>
          <c:tx>
            <c:strRef>
              <c:f>'Pots and traps 10-12m'!$B$163</c:f>
              <c:strCache>
                <c:ptCount val="1"/>
                <c:pt idx="0">
                  <c:v>Brown Crab</c:v>
                </c:pt>
              </c:strCache>
            </c:strRef>
          </c:tx>
          <c:spPr>
            <a:solidFill>
              <a:srgbClr val="E87308"/>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10-12m'!$C$163:$E$163</c:f>
              <c:numCache>
                <c:formatCode>0%</c:formatCode>
                <c:ptCount val="3"/>
                <c:pt idx="0">
                  <c:v>0.13405294570382323</c:v>
                </c:pt>
                <c:pt idx="1">
                  <c:v>0.37078824692977524</c:v>
                </c:pt>
                <c:pt idx="2">
                  <c:v>0.34723822968448698</c:v>
                </c:pt>
              </c:numCache>
            </c:numRef>
          </c:val>
          <c:extLst>
            <c:ext xmlns:c16="http://schemas.microsoft.com/office/drawing/2014/chart" uri="{C3380CC4-5D6E-409C-BE32-E72D297353CC}">
              <c16:uniqueId val="{00000001-2638-42D6-8AD6-7CD64AC55948}"/>
            </c:ext>
          </c:extLst>
        </c:ser>
        <c:ser>
          <c:idx val="2"/>
          <c:order val="2"/>
          <c:tx>
            <c:strRef>
              <c:f>'Pots and traps 10-12m'!$B$164</c:f>
              <c:strCache>
                <c:ptCount val="1"/>
                <c:pt idx="0">
                  <c:v>Lobsters</c:v>
                </c:pt>
              </c:strCache>
            </c:strRef>
          </c:tx>
          <c:spPr>
            <a:solidFill>
              <a:srgbClr val="2273B9"/>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10-12m'!$C$164:$E$164</c:f>
              <c:numCache>
                <c:formatCode>0%</c:formatCode>
                <c:ptCount val="3"/>
                <c:pt idx="0">
                  <c:v>1.2718584437814521E-2</c:v>
                </c:pt>
                <c:pt idx="1">
                  <c:v>7.2547871035983938E-2</c:v>
                </c:pt>
                <c:pt idx="2">
                  <c:v>5.4055913840027885E-2</c:v>
                </c:pt>
              </c:numCache>
            </c:numRef>
          </c:val>
          <c:extLst>
            <c:ext xmlns:c16="http://schemas.microsoft.com/office/drawing/2014/chart" uri="{C3380CC4-5D6E-409C-BE32-E72D297353CC}">
              <c16:uniqueId val="{00000002-2638-42D6-8AD6-7CD64AC55948}"/>
            </c:ext>
          </c:extLst>
        </c:ser>
        <c:ser>
          <c:idx val="3"/>
          <c:order val="3"/>
          <c:tx>
            <c:strRef>
              <c:f>'Pots and traps 10-12m'!$B$165</c:f>
              <c:strCache>
                <c:ptCount val="1"/>
                <c:pt idx="0">
                  <c:v>Nephrops</c:v>
                </c:pt>
              </c:strCache>
            </c:strRef>
          </c:tx>
          <c:spPr>
            <a:solidFill>
              <a:srgbClr val="C1D119"/>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10-12m'!$C$165:$E$165</c:f>
              <c:numCache>
                <c:formatCode>0%</c:formatCode>
                <c:ptCount val="3"/>
                <c:pt idx="0">
                  <c:v>2.5696545653319074E-2</c:v>
                </c:pt>
                <c:pt idx="1">
                  <c:v>2.8477302315997412E-2</c:v>
                </c:pt>
                <c:pt idx="2">
                  <c:v>0.10201105206982268</c:v>
                </c:pt>
              </c:numCache>
            </c:numRef>
          </c:val>
          <c:extLst>
            <c:ext xmlns:c16="http://schemas.microsoft.com/office/drawing/2014/chart" uri="{C3380CC4-5D6E-409C-BE32-E72D297353CC}">
              <c16:uniqueId val="{00000003-2638-42D6-8AD6-7CD64AC55948}"/>
            </c:ext>
          </c:extLst>
        </c:ser>
        <c:ser>
          <c:idx val="4"/>
          <c:order val="4"/>
          <c:tx>
            <c:strRef>
              <c:f>'Pots and traps 10-12m'!$B$166</c:f>
              <c:strCache>
                <c:ptCount val="1"/>
                <c:pt idx="0">
                  <c:v>Spider Crabs</c:v>
                </c:pt>
              </c:strCache>
            </c:strRef>
          </c:tx>
          <c:spPr>
            <a:solidFill>
              <a:srgbClr val="0F9AA9"/>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10-12m'!$C$166:$E$166</c:f>
              <c:numCache>
                <c:formatCode>0%</c:formatCode>
                <c:ptCount val="3"/>
                <c:pt idx="0">
                  <c:v>0</c:v>
                </c:pt>
                <c:pt idx="1">
                  <c:v>1.5765978887056574E-2</c:v>
                </c:pt>
                <c:pt idx="2">
                  <c:v>0</c:v>
                </c:pt>
              </c:numCache>
            </c:numRef>
          </c:val>
          <c:extLst>
            <c:ext xmlns:c16="http://schemas.microsoft.com/office/drawing/2014/chart" uri="{C3380CC4-5D6E-409C-BE32-E72D297353CC}">
              <c16:uniqueId val="{00000004-2638-42D6-8AD6-7CD64AC55948}"/>
            </c:ext>
          </c:extLst>
        </c:ser>
        <c:ser>
          <c:idx val="5"/>
          <c:order val="5"/>
          <c:tx>
            <c:strRef>
              <c:f>'Pots and traps 10-12m'!$B$167</c:f>
              <c:strCache>
                <c:ptCount val="1"/>
                <c:pt idx="0">
                  <c:v>Velvet Crab</c:v>
                </c:pt>
              </c:strCache>
            </c:strRef>
          </c:tx>
          <c:spPr>
            <a:solidFill>
              <a:srgbClr val="E84A38"/>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10-12m'!$C$167:$E$167</c:f>
              <c:numCache>
                <c:formatCode>0%</c:formatCode>
                <c:ptCount val="3"/>
                <c:pt idx="0">
                  <c:v>6.851225318702657E-3</c:v>
                </c:pt>
                <c:pt idx="1">
                  <c:v>0</c:v>
                </c:pt>
                <c:pt idx="2">
                  <c:v>7.2465668081910586E-2</c:v>
                </c:pt>
              </c:numCache>
            </c:numRef>
          </c:val>
          <c:extLst>
            <c:ext xmlns:c16="http://schemas.microsoft.com/office/drawing/2014/chart" uri="{C3380CC4-5D6E-409C-BE32-E72D297353CC}">
              <c16:uniqueId val="{00000005-2638-42D6-8AD6-7CD64AC55948}"/>
            </c:ext>
          </c:extLst>
        </c:ser>
        <c:ser>
          <c:idx val="6"/>
          <c:order val="6"/>
          <c:tx>
            <c:strRef>
              <c:f>'Pots and traps 10-12m'!$B$168</c:f>
              <c:strCache>
                <c:ptCount val="1"/>
                <c:pt idx="0">
                  <c:v>Others</c:v>
                </c:pt>
              </c:strCache>
            </c:strRef>
          </c:tx>
          <c:spPr>
            <a:solidFill>
              <a:srgbClr val="55585A"/>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10-12m'!$C$168:$E$168</c:f>
              <c:numCache>
                <c:formatCode>0%</c:formatCode>
                <c:ptCount val="3"/>
                <c:pt idx="0">
                  <c:v>0.71705861248175062</c:v>
                </c:pt>
                <c:pt idx="1">
                  <c:v>3.1673330466867267E-2</c:v>
                </c:pt>
                <c:pt idx="2">
                  <c:v>2.410154388744068E-2</c:v>
                </c:pt>
              </c:numCache>
            </c:numRef>
          </c:val>
          <c:extLst>
            <c:ext xmlns:c16="http://schemas.microsoft.com/office/drawing/2014/chart" uri="{C3380CC4-5D6E-409C-BE32-E72D297353CC}">
              <c16:uniqueId val="{00000006-2638-42D6-8AD6-7CD64AC55948}"/>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'Pots and traps 10-12m'!$H$162</c:f>
              <c:strCache>
                <c:ptCount val="1"/>
                <c:pt idx="0">
                  <c:v>Lobsters</c:v>
                </c:pt>
              </c:strCache>
            </c:strRef>
          </c:tx>
          <c:spPr>
            <a:solidFill>
              <a:srgbClr val="2273B9"/>
            </a:solidFill>
            <a:ln>
              <a:solidFill>
                <a:srgbClr val="FFFFFF"/>
              </a:solidFill>
            </a:ln>
          </c:spPr>
          <c:invertIfNegative val="0"/>
          <c:cat>
            <c:strRef>
              <c:f>'Pots and traps 10-12m'!$I$161:$K$161</c:f>
              <c:strCache>
                <c:ptCount val="3"/>
                <c:pt idx="0">
                  <c:v>Most
profitable
quartile</c:v>
                </c:pt>
                <c:pt idx="1">
                  <c:v>Middle 
two quartiles</c:v>
                </c:pt>
                <c:pt idx="2">
                  <c:v>Least
profitable
quartile</c:v>
                </c:pt>
              </c:strCache>
            </c:strRef>
          </c:cat>
          <c:val>
            <c:numRef>
              <c:f>'Pots and traps 10-12m'!$I$162:$K$162</c:f>
              <c:numCache>
                <c:formatCode>0%</c:formatCode>
                <c:ptCount val="3"/>
                <c:pt idx="0">
                  <c:v>5.1517528360067864E-2</c:v>
                </c:pt>
                <c:pt idx="1">
                  <c:v>0.36188055229741128</c:v>
                </c:pt>
                <c:pt idx="2">
                  <c:v>0.22832656611815047</c:v>
                </c:pt>
              </c:numCache>
            </c:numRef>
          </c:val>
          <c:extLst>
            <c:ext xmlns:c16="http://schemas.microsoft.com/office/drawing/2014/chart" uri="{C3380CC4-5D6E-409C-BE32-E72D297353CC}">
              <c16:uniqueId val="{00000000-CC14-46F5-9CCD-AED28DDB6A65}"/>
            </c:ext>
          </c:extLst>
        </c:ser>
        <c:ser>
          <c:idx val="1"/>
          <c:order val="1"/>
          <c:tx>
            <c:strRef>
              <c:f>'Pots and traps 10-12m'!$H$163</c:f>
              <c:strCache>
                <c:ptCount val="1"/>
                <c:pt idx="0">
                  <c:v>Brown Crab</c:v>
                </c:pt>
              </c:strCache>
            </c:strRef>
          </c:tx>
          <c:spPr>
            <a:solidFill>
              <a:srgbClr val="E87308"/>
            </a:solidFill>
            <a:ln>
              <a:solidFill>
                <a:srgbClr val="FFFFFF"/>
              </a:solidFill>
            </a:ln>
          </c:spPr>
          <c:invertIfNegative val="0"/>
          <c:cat>
            <c:strRef>
              <c:f>'Pots and traps 10-12m'!$I$161:$K$161</c:f>
              <c:strCache>
                <c:ptCount val="3"/>
                <c:pt idx="0">
                  <c:v>Most
profitable
quartile</c:v>
                </c:pt>
                <c:pt idx="1">
                  <c:v>Middle 
two quartiles</c:v>
                </c:pt>
                <c:pt idx="2">
                  <c:v>Least
profitable
quartile</c:v>
                </c:pt>
              </c:strCache>
            </c:strRef>
          </c:cat>
          <c:val>
            <c:numRef>
              <c:f>'Pots and traps 10-12m'!$I$163:$K$163</c:f>
              <c:numCache>
                <c:formatCode>0%</c:formatCode>
                <c:ptCount val="3"/>
                <c:pt idx="0">
                  <c:v>7.8036486992928616E-2</c:v>
                </c:pt>
                <c:pt idx="1">
                  <c:v>0.25427438184286488</c:v>
                </c:pt>
                <c:pt idx="2">
                  <c:v>0.1976257560223921</c:v>
                </c:pt>
              </c:numCache>
            </c:numRef>
          </c:val>
          <c:extLst>
            <c:ext xmlns:c16="http://schemas.microsoft.com/office/drawing/2014/chart" uri="{C3380CC4-5D6E-409C-BE32-E72D297353CC}">
              <c16:uniqueId val="{00000001-CC14-46F5-9CCD-AED28DDB6A65}"/>
            </c:ext>
          </c:extLst>
        </c:ser>
        <c:ser>
          <c:idx val="2"/>
          <c:order val="2"/>
          <c:tx>
            <c:strRef>
              <c:f>'Pots and traps 10-12m'!$H$164</c:f>
              <c:strCache>
                <c:ptCount val="1"/>
                <c:pt idx="0">
                  <c:v>Whelks</c:v>
                </c:pt>
              </c:strCache>
            </c:strRef>
          </c:tx>
          <c:spPr>
            <a:solidFill>
              <a:srgbClr val="648C2E"/>
            </a:solidFill>
            <a:ln>
              <a:solidFill>
                <a:srgbClr val="FFFFFF"/>
              </a:solidFill>
            </a:ln>
          </c:spPr>
          <c:invertIfNegative val="0"/>
          <c:cat>
            <c:strRef>
              <c:f>'Pots and traps 10-12m'!$I$161:$K$161</c:f>
              <c:strCache>
                <c:ptCount val="3"/>
                <c:pt idx="0">
                  <c:v>Most
profitable
quartile</c:v>
                </c:pt>
                <c:pt idx="1">
                  <c:v>Middle 
two quartiles</c:v>
                </c:pt>
                <c:pt idx="2">
                  <c:v>Least
profitable
quartile</c:v>
                </c:pt>
              </c:strCache>
            </c:strRef>
          </c:cat>
          <c:val>
            <c:numRef>
              <c:f>'Pots and traps 10-12m'!$I$164:$K$164</c:f>
              <c:numCache>
                <c:formatCode>0%</c:formatCode>
                <c:ptCount val="3"/>
                <c:pt idx="0">
                  <c:v>3.4489927427839462E-2</c:v>
                </c:pt>
                <c:pt idx="1">
                  <c:v>0.22356283565810675</c:v>
                </c:pt>
                <c:pt idx="2">
                  <c:v>0.14660953274007829</c:v>
                </c:pt>
              </c:numCache>
            </c:numRef>
          </c:val>
          <c:extLst>
            <c:ext xmlns:c16="http://schemas.microsoft.com/office/drawing/2014/chart" uri="{C3380CC4-5D6E-409C-BE32-E72D297353CC}">
              <c16:uniqueId val="{00000002-CC14-46F5-9CCD-AED28DDB6A65}"/>
            </c:ext>
          </c:extLst>
        </c:ser>
        <c:ser>
          <c:idx val="3"/>
          <c:order val="3"/>
          <c:tx>
            <c:strRef>
              <c:f>'Pots and traps 10-12m'!$H$165</c:f>
              <c:strCache>
                <c:ptCount val="1"/>
                <c:pt idx="0">
                  <c:v>Nephrops</c:v>
                </c:pt>
              </c:strCache>
            </c:strRef>
          </c:tx>
          <c:spPr>
            <a:solidFill>
              <a:srgbClr val="C1D119"/>
            </a:solidFill>
            <a:ln>
              <a:solidFill>
                <a:srgbClr val="FFFFFF"/>
              </a:solidFill>
            </a:ln>
          </c:spPr>
          <c:invertIfNegative val="0"/>
          <c:cat>
            <c:strRef>
              <c:f>'Pots and traps 10-12m'!$I$161:$K$161</c:f>
              <c:strCache>
                <c:ptCount val="3"/>
                <c:pt idx="0">
                  <c:v>Most
profitable
quartile</c:v>
                </c:pt>
                <c:pt idx="1">
                  <c:v>Middle 
two quartiles</c:v>
                </c:pt>
                <c:pt idx="2">
                  <c:v>Least
profitable
quartile</c:v>
                </c:pt>
              </c:strCache>
            </c:strRef>
          </c:cat>
          <c:val>
            <c:numRef>
              <c:f>'Pots and traps 10-12m'!$I$165:$K$165</c:f>
              <c:numCache>
                <c:formatCode>0%</c:formatCode>
                <c:ptCount val="3"/>
                <c:pt idx="0">
                  <c:v>8.171580919994309E-2</c:v>
                </c:pt>
                <c:pt idx="1">
                  <c:v>0.10997024939629607</c:v>
                </c:pt>
                <c:pt idx="2">
                  <c:v>0.29883612526744302</c:v>
                </c:pt>
              </c:numCache>
            </c:numRef>
          </c:val>
          <c:extLst>
            <c:ext xmlns:c16="http://schemas.microsoft.com/office/drawing/2014/chart" uri="{C3380CC4-5D6E-409C-BE32-E72D297353CC}">
              <c16:uniqueId val="{00000003-CC14-46F5-9CCD-AED28DDB6A65}"/>
            </c:ext>
          </c:extLst>
        </c:ser>
        <c:ser>
          <c:idx val="4"/>
          <c:order val="4"/>
          <c:tx>
            <c:strRef>
              <c:f>'Pots and traps 10-12m'!$H$166</c:f>
              <c:strCache>
                <c:ptCount val="1"/>
                <c:pt idx="0">
                  <c:v>Velvet Crab</c:v>
                </c:pt>
              </c:strCache>
            </c:strRef>
          </c:tx>
          <c:spPr>
            <a:solidFill>
              <a:srgbClr val="E84A38"/>
            </a:solidFill>
            <a:ln>
              <a:solidFill>
                <a:srgbClr val="FFFFFF"/>
              </a:solidFill>
            </a:ln>
          </c:spPr>
          <c:invertIfNegative val="0"/>
          <c:cat>
            <c:strRef>
              <c:f>'Pots and traps 10-12m'!$I$161:$K$161</c:f>
              <c:strCache>
                <c:ptCount val="3"/>
                <c:pt idx="0">
                  <c:v>Most
profitable
quartile</c:v>
                </c:pt>
                <c:pt idx="1">
                  <c:v>Middle 
two quartiles</c:v>
                </c:pt>
                <c:pt idx="2">
                  <c:v>Least
profitable
quartile</c:v>
                </c:pt>
              </c:strCache>
            </c:strRef>
          </c:cat>
          <c:val>
            <c:numRef>
              <c:f>'Pots and traps 10-12m'!$I$166:$K$166</c:f>
              <c:numCache>
                <c:formatCode>0%</c:formatCode>
                <c:ptCount val="3"/>
                <c:pt idx="0">
                  <c:v>5.7003425453745612E-3</c:v>
                </c:pt>
                <c:pt idx="1">
                  <c:v>1.4353786157599833E-2</c:v>
                </c:pt>
                <c:pt idx="2">
                  <c:v>6.4819215247975473E-2</c:v>
                </c:pt>
              </c:numCache>
            </c:numRef>
          </c:val>
          <c:extLst>
            <c:ext xmlns:c16="http://schemas.microsoft.com/office/drawing/2014/chart" uri="{C3380CC4-5D6E-409C-BE32-E72D297353CC}">
              <c16:uniqueId val="{00000004-CC14-46F5-9CCD-AED28DDB6A65}"/>
            </c:ext>
          </c:extLst>
        </c:ser>
        <c:ser>
          <c:idx val="5"/>
          <c:order val="5"/>
          <c:tx>
            <c:strRef>
              <c:f>'Pots and traps 10-12m'!$H$167</c:f>
              <c:strCache>
                <c:ptCount val="1"/>
                <c:pt idx="0">
                  <c:v>Others</c:v>
                </c:pt>
              </c:strCache>
            </c:strRef>
          </c:tx>
          <c:spPr>
            <a:solidFill>
              <a:srgbClr val="55585A"/>
            </a:solidFill>
            <a:ln>
              <a:solidFill>
                <a:srgbClr val="FFFFFF"/>
              </a:solidFill>
            </a:ln>
          </c:spPr>
          <c:invertIfNegative val="0"/>
          <c:cat>
            <c:strRef>
              <c:f>'Pots and traps 10-12m'!$I$161:$K$161</c:f>
              <c:strCache>
                <c:ptCount val="3"/>
                <c:pt idx="0">
                  <c:v>Most
profitable
quartile</c:v>
                </c:pt>
                <c:pt idx="1">
                  <c:v>Middle 
two quartiles</c:v>
                </c:pt>
                <c:pt idx="2">
                  <c:v>Least
profitable
quartile</c:v>
                </c:pt>
              </c:strCache>
            </c:strRef>
          </c:cat>
          <c:val>
            <c:numRef>
              <c:f>'Pots and traps 10-12m'!$I$167:$K$167</c:f>
              <c:numCache>
                <c:formatCode>0%</c:formatCode>
                <c:ptCount val="3"/>
                <c:pt idx="0">
                  <c:v>0.74853990547384641</c:v>
                </c:pt>
                <c:pt idx="1">
                  <c:v>3.5958194647721209E-2</c:v>
                </c:pt>
                <c:pt idx="2">
                  <c:v>6.3782804603960686E-2</c:v>
                </c:pt>
              </c:numCache>
            </c:numRef>
          </c:val>
          <c:extLst>
            <c:ext xmlns:c16="http://schemas.microsoft.com/office/drawing/2014/chart" uri="{C3380CC4-5D6E-409C-BE32-E72D297353CC}">
              <c16:uniqueId val="{00000005-CC14-46F5-9CCD-AED28DDB6A65}"/>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'Pots and traps 10-12m'!$K$139</c:f>
              <c:strCache>
                <c:ptCount val="1"/>
                <c:pt idx="0">
                  <c:v>Total income</c:v>
                </c:pt>
              </c:strCache>
            </c:strRef>
          </c:tx>
          <c:spPr>
            <a:solidFill>
              <a:srgbClr val="087CBB"/>
            </a:solidFill>
            <a:ln>
              <a:solidFill>
                <a:schemeClr val="accent1"/>
              </a:solidFill>
            </a:ln>
          </c:spPr>
          <c:invertIfNegative val="0"/>
          <c:cat>
            <c:strRef>
              <c:f>'Pots and traps 10-12m'!$L$138:$N$138</c:f>
              <c:strCache>
                <c:ptCount val="3"/>
                <c:pt idx="0">
                  <c:v>Most
profitable
quartile</c:v>
                </c:pt>
                <c:pt idx="1">
                  <c:v>Middle
two quartiles</c:v>
                </c:pt>
                <c:pt idx="2">
                  <c:v>Least
profitable
quartile</c:v>
                </c:pt>
              </c:strCache>
            </c:strRef>
          </c:cat>
          <c:val>
            <c:numRef>
              <c:f>'Pots and traps 10-12m'!$L$139:$N$139</c:f>
              <c:numCache>
                <c:formatCode>#,##0</c:formatCode>
                <c:ptCount val="3"/>
                <c:pt idx="0">
                  <c:v>301.15846875</c:v>
                </c:pt>
                <c:pt idx="1">
                  <c:v>188.86273592033001</c:v>
                </c:pt>
                <c:pt idx="2">
                  <c:v>87.268140625000001</c:v>
                </c:pt>
              </c:numCache>
            </c:numRef>
          </c:val>
          <c:extLst>
            <c:ext xmlns:c16="http://schemas.microsoft.com/office/drawing/2014/chart" uri="{C3380CC4-5D6E-409C-BE32-E72D297353CC}">
              <c16:uniqueId val="{00000000-BE0D-4ADF-886C-3A7407F20805}"/>
            </c:ext>
          </c:extLst>
        </c:ser>
        <c:ser>
          <c:idx val="1"/>
          <c:order val="1"/>
          <c:tx>
            <c:strRef>
              <c:f>'Pots and traps 10-12m'!$K$140</c:f>
              <c:strCache>
                <c:ptCount val="1"/>
                <c:pt idx="0">
                  <c:v>Operating costs</c:v>
                </c:pt>
              </c:strCache>
            </c:strRef>
          </c:tx>
          <c:spPr>
            <a:solidFill>
              <a:srgbClr val="E87308"/>
            </a:solidFill>
          </c:spPr>
          <c:invertIfNegative val="0"/>
          <c:cat>
            <c:strRef>
              <c:f>'Pots and traps 10-12m'!$L$138:$N$138</c:f>
              <c:strCache>
                <c:ptCount val="3"/>
                <c:pt idx="0">
                  <c:v>Most
profitable
quartile</c:v>
                </c:pt>
                <c:pt idx="1">
                  <c:v>Middle
two quartiles</c:v>
                </c:pt>
                <c:pt idx="2">
                  <c:v>Least
profitable
quartile</c:v>
                </c:pt>
              </c:strCache>
            </c:strRef>
          </c:cat>
          <c:val>
            <c:numRef>
              <c:f>'Pots and traps 10-12m'!$L$140:$N$140</c:f>
              <c:numCache>
                <c:formatCode>#,##0</c:formatCode>
                <c:ptCount val="3"/>
                <c:pt idx="0">
                  <c:v>190.92182812499999</c:v>
                </c:pt>
                <c:pt idx="1">
                  <c:v>126.898826837225</c:v>
                </c:pt>
                <c:pt idx="2">
                  <c:v>65.814078124999995</c:v>
                </c:pt>
              </c:numCache>
            </c:numRef>
          </c:val>
          <c:extLst>
            <c:ext xmlns:c16="http://schemas.microsoft.com/office/drawing/2014/chart" uri="{C3380CC4-5D6E-409C-BE32-E72D297353CC}">
              <c16:uniqueId val="{00000001-BE0D-4ADF-886C-3A7407F20805}"/>
            </c:ext>
          </c:extLst>
        </c:ser>
        <c:ser>
          <c:idx val="2"/>
          <c:order val="2"/>
          <c:tx>
            <c:strRef>
              <c:f>'Pots and traps 10-12m'!$K$141</c:f>
              <c:strCache>
                <c:ptCount val="1"/>
                <c:pt idx="0">
                  <c:v>Operating profit</c:v>
                </c:pt>
              </c:strCache>
            </c:strRef>
          </c:tx>
          <c:spPr>
            <a:solidFill>
              <a:srgbClr val="51AA81"/>
            </a:solidFill>
          </c:spPr>
          <c:invertIfNegative val="0"/>
          <c:cat>
            <c:strRef>
              <c:f>'Pots and traps 10-12m'!$L$138:$N$138</c:f>
              <c:strCache>
                <c:ptCount val="3"/>
                <c:pt idx="0">
                  <c:v>Most
profitable
quartile</c:v>
                </c:pt>
                <c:pt idx="1">
                  <c:v>Middle
two quartiles</c:v>
                </c:pt>
                <c:pt idx="2">
                  <c:v>Least
profitable
quartile</c:v>
                </c:pt>
              </c:strCache>
            </c:strRef>
          </c:cat>
          <c:val>
            <c:numRef>
              <c:f>'Pots and traps 10-12m'!$L$141:$N$141</c:f>
              <c:numCache>
                <c:formatCode>#,##0</c:formatCode>
                <c:ptCount val="3"/>
                <c:pt idx="0">
                  <c:v>110.23664062500001</c:v>
                </c:pt>
                <c:pt idx="1">
                  <c:v>61.963909083104397</c:v>
                </c:pt>
                <c:pt idx="2">
                  <c:v>21.454062499999999</c:v>
                </c:pt>
              </c:numCache>
            </c:numRef>
          </c:val>
          <c:extLst>
            <c:ext xmlns:c16="http://schemas.microsoft.com/office/drawing/2014/chart" uri="{C3380CC4-5D6E-409C-BE32-E72D297353CC}">
              <c16:uniqueId val="{00000002-BE0D-4ADF-886C-3A7407F20805}"/>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'Pots and traps 10-12m'!$K$142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12m'!$A$48</c:f>
          <c:strCache>
            <c:ptCount val="1"/>
            <c:pt idx="0">
              <c:v>Landings per kW day at sea (kg)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6FC2-4036-9184-2E605CFDA415}"/>
              </c:ext>
            </c:extLst>
          </c:dPt>
          <c:dPt>
            <c:idx val="10"/>
            <c:bubble3D val="0"/>
            <c:spPr>
              <a:ln w="57150">
                <a:solidFill>
                  <a:srgbClr val="2273B9"/>
                </a:solidFill>
                <a:prstDash val="sysDot"/>
              </a:ln>
            </c:spPr>
            <c:extLst>
              <c:ext xmlns:c16="http://schemas.microsoft.com/office/drawing/2014/chart" uri="{C3380CC4-5D6E-409C-BE32-E72D297353CC}">
                <c16:uniqueId val="{00000003-6FC2-4036-9184-2E605CFDA415}"/>
              </c:ext>
            </c:extLst>
          </c:dPt>
          <c:cat>
            <c:numRef>
              <c:f>'Pots and traps over 12m'!$D$2:$N$2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'Pots and traps over 12m'!$D$21:$N$21</c:f>
              <c:numCache>
                <c:formatCode>#,##0.00</c:formatCode>
                <c:ptCount val="11"/>
                <c:pt idx="0">
                  <c:v>5.1660458075348066</c:v>
                </c:pt>
                <c:pt idx="1">
                  <c:v>5.430499599920056</c:v>
                </c:pt>
                <c:pt idx="2">
                  <c:v>5.6415424518585287</c:v>
                </c:pt>
                <c:pt idx="3">
                  <c:v>6.2666534463306274</c:v>
                </c:pt>
                <c:pt idx="4">
                  <c:v>5.9638409662085046</c:v>
                </c:pt>
                <c:pt idx="5">
                  <c:v>5.9470561964116566</c:v>
                </c:pt>
                <c:pt idx="6">
                  <c:v>5.7305747119514452</c:v>
                </c:pt>
                <c:pt idx="7">
                  <c:v>5.8135616575902986</c:v>
                </c:pt>
                <c:pt idx="8">
                  <c:v>5.0538158171697232</c:v>
                </c:pt>
                <c:pt idx="9">
                  <c:v>4.8527414034923382</c:v>
                </c:pt>
                <c:pt idx="10">
                  <c:v>4.6325468728666834</c:v>
                </c:pt>
              </c:numCache>
            </c:numRef>
          </c:val>
          <c:smooth val="0"/>
          <c:extLst>
            <c:ext xmlns:c16="http://schemas.microsoft.com/office/drawing/2014/chart" uri="{C3380CC4-5D6E-409C-BE32-E72D297353CC}">
              <c16:uniqueId val="{00000004-6FC2-4036-9184-2E605CFDA415}"/>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'Area VIIa nephrops o250kW'!$H$162</c:f>
              <c:strCache>
                <c:ptCount val="1"/>
                <c:pt idx="0">
                  <c:v>Nephrops</c:v>
                </c:pt>
              </c:strCache>
            </c:strRef>
          </c:tx>
          <c:spPr>
            <a:solidFill>
              <a:srgbClr val="2273B9"/>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o250kW'!$I$162:$K$162</c:f>
              <c:numCache>
                <c:formatCode>0%</c:formatCode>
                <c:ptCount val="3"/>
                <c:pt idx="0">
                  <c:v>0.29009308742870327</c:v>
                </c:pt>
                <c:pt idx="1">
                  <c:v>0.92123576699262555</c:v>
                </c:pt>
                <c:pt idx="2">
                  <c:v>0.70882207754321402</c:v>
                </c:pt>
              </c:numCache>
            </c:numRef>
          </c:val>
          <c:extLst>
            <c:ext xmlns:c16="http://schemas.microsoft.com/office/drawing/2014/chart" uri="{C3380CC4-5D6E-409C-BE32-E72D297353CC}">
              <c16:uniqueId val="{00000000-B460-464C-B664-633C1A94F19E}"/>
            </c:ext>
          </c:extLst>
        </c:ser>
        <c:ser>
          <c:idx val="1"/>
          <c:order val="1"/>
          <c:tx>
            <c:strRef>
              <c:f>'Area VIIa nephrops o250kW'!$H$163</c:f>
              <c:strCache>
                <c:ptCount val="1"/>
                <c:pt idx="0">
                  <c:v>Anglerfish</c:v>
                </c:pt>
              </c:strCache>
            </c:strRef>
          </c:tx>
          <c:spPr>
            <a:solidFill>
              <a:srgbClr val="E87308"/>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o250kW'!$I$163:$K$163</c:f>
              <c:numCache>
                <c:formatCode>0%</c:formatCode>
                <c:ptCount val="3"/>
                <c:pt idx="0">
                  <c:v>6.4840070101277172E-3</c:v>
                </c:pt>
                <c:pt idx="1">
                  <c:v>2.3229724264792265E-2</c:v>
                </c:pt>
                <c:pt idx="2">
                  <c:v>1.5396757855171996E-2</c:v>
                </c:pt>
              </c:numCache>
            </c:numRef>
          </c:val>
          <c:extLst>
            <c:ext xmlns:c16="http://schemas.microsoft.com/office/drawing/2014/chart" uri="{C3380CC4-5D6E-409C-BE32-E72D297353CC}">
              <c16:uniqueId val="{00000001-B460-464C-B664-633C1A94F19E}"/>
            </c:ext>
          </c:extLst>
        </c:ser>
        <c:ser>
          <c:idx val="2"/>
          <c:order val="2"/>
          <c:tx>
            <c:strRef>
              <c:f>'Area VIIa nephrops o250kW'!$H$164</c:f>
              <c:strCache>
                <c:ptCount val="1"/>
                <c:pt idx="0">
                  <c:v>Les. Spot. Dog</c:v>
                </c:pt>
              </c:strCache>
            </c:strRef>
          </c:tx>
          <c:spPr>
            <a:solidFill>
              <a:srgbClr val="648C2E"/>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o250kW'!$I$164:$K$164</c:f>
              <c:numCache>
                <c:formatCode>0%</c:formatCode>
                <c:ptCount val="3"/>
                <c:pt idx="0">
                  <c:v>2.4403091221792779E-3</c:v>
                </c:pt>
                <c:pt idx="1">
                  <c:v>1.7678907082230359E-2</c:v>
                </c:pt>
                <c:pt idx="2">
                  <c:v>0</c:v>
                </c:pt>
              </c:numCache>
            </c:numRef>
          </c:val>
          <c:extLst>
            <c:ext xmlns:c16="http://schemas.microsoft.com/office/drawing/2014/chart" uri="{C3380CC4-5D6E-409C-BE32-E72D297353CC}">
              <c16:uniqueId val="{00000002-B460-464C-B664-633C1A94F19E}"/>
            </c:ext>
          </c:extLst>
        </c:ser>
        <c:ser>
          <c:idx val="3"/>
          <c:order val="3"/>
          <c:tx>
            <c:strRef>
              <c:f>'Area VIIa nephrops o250kW'!$H$165</c:f>
              <c:strCache>
                <c:ptCount val="1"/>
                <c:pt idx="0">
                  <c:v>Haddock</c:v>
                </c:pt>
              </c:strCache>
            </c:strRef>
          </c:tx>
          <c:spPr>
            <a:solidFill>
              <a:srgbClr val="C1D119"/>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o250kW'!$I$165:$K$165</c:f>
              <c:numCache>
                <c:formatCode>0%</c:formatCode>
                <c:ptCount val="3"/>
                <c:pt idx="0">
                  <c:v>0</c:v>
                </c:pt>
                <c:pt idx="1">
                  <c:v>1.2260682926118319E-2</c:v>
                </c:pt>
                <c:pt idx="2">
                  <c:v>9.2419057995534303E-3</c:v>
                </c:pt>
              </c:numCache>
            </c:numRef>
          </c:val>
          <c:extLst>
            <c:ext xmlns:c16="http://schemas.microsoft.com/office/drawing/2014/chart" uri="{C3380CC4-5D6E-409C-BE32-E72D297353CC}">
              <c16:uniqueId val="{00000003-B460-464C-B664-633C1A94F19E}"/>
            </c:ext>
          </c:extLst>
        </c:ser>
        <c:ser>
          <c:idx val="4"/>
          <c:order val="4"/>
          <c:tx>
            <c:strRef>
              <c:f>'Area VIIa nephrops o250kW'!$H$166</c:f>
              <c:strCache>
                <c:ptCount val="1"/>
                <c:pt idx="0">
                  <c:v>Brill</c:v>
                </c:pt>
              </c:strCache>
            </c:strRef>
          </c:tx>
          <c:spPr>
            <a:solidFill>
              <a:srgbClr val="FED825"/>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o250kW'!$I$166:$K$166</c:f>
              <c:numCache>
                <c:formatCode>0%</c:formatCode>
                <c:ptCount val="3"/>
                <c:pt idx="0">
                  <c:v>0</c:v>
                </c:pt>
                <c:pt idx="1">
                  <c:v>6.7872595548155454E-3</c:v>
                </c:pt>
                <c:pt idx="2">
                  <c:v>0</c:v>
                </c:pt>
              </c:numCache>
            </c:numRef>
          </c:val>
          <c:extLst>
            <c:ext xmlns:c16="http://schemas.microsoft.com/office/drawing/2014/chart" uri="{C3380CC4-5D6E-409C-BE32-E72D297353CC}">
              <c16:uniqueId val="{00000004-B460-464C-B664-633C1A94F19E}"/>
            </c:ext>
          </c:extLst>
        </c:ser>
        <c:ser>
          <c:idx val="5"/>
          <c:order val="5"/>
          <c:tx>
            <c:strRef>
              <c:f>'Area VIIa nephrops o250kW'!$H$167</c:f>
              <c:strCache>
                <c:ptCount val="1"/>
                <c:pt idx="0">
                  <c:v>Cod</c:v>
                </c:pt>
              </c:strCache>
            </c:strRef>
          </c:tx>
          <c:spPr>
            <a:solidFill>
              <a:srgbClr val="E84A38"/>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o250kW'!$I$167:$K$167</c:f>
              <c:numCache>
                <c:formatCode>0%</c:formatCode>
                <c:ptCount val="3"/>
                <c:pt idx="0">
                  <c:v>1.1687538194177028E-3</c:v>
                </c:pt>
                <c:pt idx="1">
                  <c:v>0</c:v>
                </c:pt>
                <c:pt idx="2">
                  <c:v>1.2208312837720699E-2</c:v>
                </c:pt>
              </c:numCache>
            </c:numRef>
          </c:val>
          <c:extLst>
            <c:ext xmlns:c16="http://schemas.microsoft.com/office/drawing/2014/chart" uri="{C3380CC4-5D6E-409C-BE32-E72D297353CC}">
              <c16:uniqueId val="{00000005-B460-464C-B664-633C1A94F19E}"/>
            </c:ext>
          </c:extLst>
        </c:ser>
        <c:ser>
          <c:idx val="6"/>
          <c:order val="6"/>
          <c:tx>
            <c:strRef>
              <c:f>'Area VIIa nephrops o250kW'!$H$168</c:f>
              <c:strCache>
                <c:ptCount val="1"/>
                <c:pt idx="0">
                  <c:v>Hake</c:v>
                </c:pt>
              </c:strCache>
            </c:strRef>
          </c:tx>
          <c:spPr>
            <a:solidFill>
              <a:srgbClr val="707271"/>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o250kW'!$I$168:$K$168</c:f>
              <c:numCache>
                <c:formatCode>0%</c:formatCode>
                <c:ptCount val="3"/>
                <c:pt idx="0">
                  <c:v>0</c:v>
                </c:pt>
                <c:pt idx="1">
                  <c:v>0</c:v>
                </c:pt>
                <c:pt idx="2">
                  <c:v>4.4788314916001928E-3</c:v>
                </c:pt>
              </c:numCache>
            </c:numRef>
          </c:val>
          <c:extLst>
            <c:ext xmlns:c16="http://schemas.microsoft.com/office/drawing/2014/chart" uri="{C3380CC4-5D6E-409C-BE32-E72D297353CC}">
              <c16:uniqueId val="{00000006-B460-464C-B664-633C1A94F19E}"/>
            </c:ext>
          </c:extLst>
        </c:ser>
        <c:ser>
          <c:idx val="7"/>
          <c:order val="7"/>
          <c:tx>
            <c:strRef>
              <c:f>'Area VIIa nephrops o250kW'!$H$169</c:f>
              <c:strCache>
                <c:ptCount val="1"/>
                <c:pt idx="0">
                  <c:v>Sole</c:v>
                </c:pt>
              </c:strCache>
            </c:strRef>
          </c:tx>
          <c:spPr>
            <a:solidFill>
              <a:srgbClr val="51AA81"/>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o250kW'!$I$169:$K$169</c:f>
              <c:numCache>
                <c:formatCode>0%</c:formatCode>
                <c:ptCount val="3"/>
                <c:pt idx="0">
                  <c:v>9.363739408294481E-4</c:v>
                </c:pt>
                <c:pt idx="1">
                  <c:v>0</c:v>
                </c:pt>
                <c:pt idx="2">
                  <c:v>0</c:v>
                </c:pt>
              </c:numCache>
            </c:numRef>
          </c:val>
          <c:extLst>
            <c:ext xmlns:c16="http://schemas.microsoft.com/office/drawing/2014/chart" uri="{C3380CC4-5D6E-409C-BE32-E72D297353CC}">
              <c16:uniqueId val="{00000007-B460-464C-B664-633C1A94F19E}"/>
            </c:ext>
          </c:extLst>
        </c:ser>
        <c:ser>
          <c:idx val="8"/>
          <c:order val="8"/>
          <c:tx>
            <c:strRef>
              <c:f>'Area VIIa nephrops o250kW'!$H$170</c:f>
              <c:strCache>
                <c:ptCount val="1"/>
                <c:pt idx="0">
                  <c:v>Others</c:v>
                </c:pt>
              </c:strCache>
            </c:strRef>
          </c:tx>
          <c:spPr>
            <a:solidFill>
              <a:srgbClr val="55585A"/>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o250kW'!$I$170:$K$170</c:f>
              <c:numCache>
                <c:formatCode>0%</c:formatCode>
                <c:ptCount val="3"/>
                <c:pt idx="0">
                  <c:v>0.69887746867874256</c:v>
                </c:pt>
                <c:pt idx="1">
                  <c:v>1.8807659179417846E-2</c:v>
                </c:pt>
                <c:pt idx="2">
                  <c:v>0.24985211447273958</c:v>
                </c:pt>
              </c:numCache>
            </c:numRef>
          </c:val>
          <c:extLst>
            <c:ext xmlns:c16="http://schemas.microsoft.com/office/drawing/2014/chart" uri="{C3380CC4-5D6E-409C-BE32-E72D297353CC}">
              <c16:uniqueId val="{00000008-B460-464C-B664-633C1A94F19E}"/>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12m'!$A$49</c:f>
          <c:strCache>
            <c:ptCount val="1"/>
            <c:pt idx="0">
              <c:v>Fishing income per kW day at sea (£)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BA48-47C7-A16A-3791016D5D31}"/>
              </c:ext>
            </c:extLst>
          </c:dPt>
          <c:dPt>
            <c:idx val="10"/>
            <c:bubble3D val="0"/>
            <c:spPr>
              <a:ln w="57150">
                <a:solidFill>
                  <a:srgbClr val="648C2E"/>
                </a:solidFill>
                <a:prstDash val="sysDot"/>
              </a:ln>
            </c:spPr>
            <c:extLst>
              <c:ext xmlns:c16="http://schemas.microsoft.com/office/drawing/2014/chart" uri="{C3380CC4-5D6E-409C-BE32-E72D297353CC}">
                <c16:uniqueId val="{00000003-BA48-47C7-A16A-3791016D5D31}"/>
              </c:ext>
            </c:extLst>
          </c:dPt>
          <c:cat>
            <c:numRef>
              <c:f>'Pots and traps over 12m'!$D$2:$N$2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'Pots and traps over 12m'!$D$22:$N$22</c:f>
              <c:numCache>
                <c:formatCode>#,##0.00</c:formatCode>
                <c:ptCount val="11"/>
                <c:pt idx="0">
                  <c:v>8.8719335002815107</c:v>
                </c:pt>
                <c:pt idx="1">
                  <c:v>9.16193947890301</c:v>
                </c:pt>
                <c:pt idx="2">
                  <c:v>10.1451116585331</c:v>
                </c:pt>
                <c:pt idx="3">
                  <c:v>10.997880970343401</c:v>
                </c:pt>
                <c:pt idx="4">
                  <c:v>10.3632196992133</c:v>
                </c:pt>
                <c:pt idx="5">
                  <c:v>10.8628514192394</c:v>
                </c:pt>
                <c:pt idx="6">
                  <c:v>11.753269202094801</c:v>
                </c:pt>
                <c:pt idx="7">
                  <c:v>13.3474610035325</c:v>
                </c:pt>
                <c:pt idx="8">
                  <c:v>12.3159562740866</c:v>
                </c:pt>
                <c:pt idx="9">
                  <c:v>9.2278951873939601</c:v>
                </c:pt>
                <c:pt idx="10">
                  <c:v>11.720978593418124</c:v>
                </c:pt>
              </c:numCache>
            </c:numRef>
          </c:val>
          <c:smooth val="0"/>
          <c:extLst>
            <c:ext xmlns:c16="http://schemas.microsoft.com/office/drawing/2014/chart" uri="{C3380CC4-5D6E-409C-BE32-E72D297353CC}">
              <c16:uniqueId val="{00000004-BA48-47C7-A16A-3791016D5D31}"/>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12m'!$B$62</c:f>
          <c:strCache>
            <c:ptCount val="1"/>
            <c:pt idx="0">
              <c:v>Total cost per kW day at sea (£)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B8D0-496F-8061-F3E6A3A2EF2B}"/>
              </c:ext>
            </c:extLst>
          </c:dPt>
          <c:dPt>
            <c:idx val="10"/>
            <c:bubble3D val="0"/>
            <c:spPr>
              <a:ln w="57150">
                <a:solidFill>
                  <a:srgbClr val="087CBB"/>
                </a:solidFill>
                <a:prstDash val="sysDot"/>
              </a:ln>
            </c:spPr>
            <c:extLst>
              <c:ext xmlns:c16="http://schemas.microsoft.com/office/drawing/2014/chart" uri="{C3380CC4-5D6E-409C-BE32-E72D297353CC}">
                <c16:uniqueId val="{00000003-B8D0-496F-8061-F3E6A3A2EF2B}"/>
              </c:ext>
            </c:extLst>
          </c:dPt>
          <c:cat>
            <c:numRef>
              <c:f>'Pots and traps over 12m'!$D$2:$N$2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'Pots and traps over 12m'!$D$23:$N$23</c:f>
              <c:numCache>
                <c:formatCode>#,##0.00</c:formatCode>
                <c:ptCount val="11"/>
                <c:pt idx="0">
                  <c:v>8.5720760763905197</c:v>
                </c:pt>
                <c:pt idx="1">
                  <c:v>8.4495375142083393</c:v>
                </c:pt>
                <c:pt idx="2">
                  <c:v>8.9222872330597003</c:v>
                </c:pt>
                <c:pt idx="3">
                  <c:v>9.2100735939905896</c:v>
                </c:pt>
                <c:pt idx="4">
                  <c:v>8.4942141206440294</c:v>
                </c:pt>
                <c:pt idx="5">
                  <c:v>8.5335099616926104</c:v>
                </c:pt>
                <c:pt idx="6">
                  <c:v>9.8513422329583005</c:v>
                </c:pt>
                <c:pt idx="7">
                  <c:v>10.643000166925001</c:v>
                </c:pt>
                <c:pt idx="8">
                  <c:v>9.7869985967619506</c:v>
                </c:pt>
                <c:pt idx="9">
                  <c:v>8.1311115521969306</c:v>
                </c:pt>
                <c:pt idx="10">
                  <c:v>9.7796172222869</c:v>
                </c:pt>
              </c:numCache>
            </c:numRef>
          </c:val>
          <c:smooth val="0"/>
          <c:extLst>
            <c:ext xmlns:c16="http://schemas.microsoft.com/office/drawing/2014/chart" uri="{C3380CC4-5D6E-409C-BE32-E72D297353CC}">
              <c16:uniqueId val="{00000004-B8D0-496F-8061-F3E6A3A2EF2B}"/>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12m'!$K$48</c:f>
          <c:strCache>
            <c:ptCount val="1"/>
            <c:pt idx="0">
              <c:v>Operating profit per kW day at sea (£)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A3DD-4C3D-834F-7F2ACB1594AD}"/>
              </c:ext>
            </c:extLst>
          </c:dPt>
          <c:dPt>
            <c:idx val="10"/>
            <c:bubble3D val="0"/>
            <c:spPr>
              <a:ln w="57150">
                <a:solidFill>
                  <a:schemeClr val="accent3"/>
                </a:solidFill>
                <a:prstDash val="sysDot"/>
              </a:ln>
            </c:spPr>
            <c:extLst>
              <c:ext xmlns:c16="http://schemas.microsoft.com/office/drawing/2014/chart" uri="{C3380CC4-5D6E-409C-BE32-E72D297353CC}">
                <c16:uniqueId val="{00000003-A3DD-4C3D-834F-7F2ACB1594AD}"/>
              </c:ext>
            </c:extLst>
          </c:dPt>
          <c:cat>
            <c:numRef>
              <c:f>'Pots and traps over 12m'!$D$2:$N$2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'Pots and traps over 12m'!$D$24:$N$24</c:f>
              <c:numCache>
                <c:formatCode>#,##0.00</c:formatCode>
                <c:ptCount val="11"/>
                <c:pt idx="0">
                  <c:v>0.82076325639837699</c:v>
                </c:pt>
                <c:pt idx="1">
                  <c:v>2.0086145220260199</c:v>
                </c:pt>
                <c:pt idx="2">
                  <c:v>1.8469898620048899</c:v>
                </c:pt>
                <c:pt idx="3">
                  <c:v>2.34691219015988</c:v>
                </c:pt>
                <c:pt idx="4">
                  <c:v>2.4213972326185602</c:v>
                </c:pt>
                <c:pt idx="5">
                  <c:v>2.5637298242628499</c:v>
                </c:pt>
                <c:pt idx="6">
                  <c:v>3.4472478129242998</c:v>
                </c:pt>
                <c:pt idx="7">
                  <c:v>3.10264258315109</c:v>
                </c:pt>
                <c:pt idx="8">
                  <c:v>2.9162493256403201</c:v>
                </c:pt>
                <c:pt idx="9">
                  <c:v>1.9812859904361</c:v>
                </c:pt>
                <c:pt idx="10">
                  <c:v>2.7964205717410349</c:v>
                </c:pt>
              </c:numCache>
            </c:numRef>
          </c:val>
          <c:smooth val="0"/>
          <c:extLst>
            <c:ext xmlns:c16="http://schemas.microsoft.com/office/drawing/2014/chart" uri="{C3380CC4-5D6E-409C-BE32-E72D297353CC}">
              <c16:uniqueId val="{00000004-A3DD-4C3D-834F-7F2ACB1594AD}"/>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12m'!$A$50</c:f>
          <c:strCache>
            <c:ptCount val="1"/>
            <c:pt idx="0">
              <c:v>Average price per tonne landed (£)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1F37-428F-A6B2-6E8C505AB78D}"/>
              </c:ext>
            </c:extLst>
          </c:dPt>
          <c:dPt>
            <c:idx val="10"/>
            <c:bubble3D val="0"/>
            <c:spPr>
              <a:ln w="57150">
                <a:solidFill>
                  <a:schemeClr val="accent4"/>
                </a:solidFill>
                <a:prstDash val="sysDot"/>
              </a:ln>
            </c:spPr>
            <c:extLst>
              <c:ext xmlns:c16="http://schemas.microsoft.com/office/drawing/2014/chart" uri="{C3380CC4-5D6E-409C-BE32-E72D297353CC}">
                <c16:uniqueId val="{00000003-1F37-428F-A6B2-6E8C505AB78D}"/>
              </c:ext>
            </c:extLst>
          </c:dPt>
          <c:cat>
            <c:numRef>
              <c:f>'Pots and traps over 12m'!$D$2:$M$2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'Pots and traps over 12m'!$D$20:$N$20</c:f>
              <c:numCache>
                <c:formatCode>#,##0</c:formatCode>
                <c:ptCount val="11"/>
                <c:pt idx="0">
                  <c:v>1717</c:v>
                </c:pt>
                <c:pt idx="1">
                  <c:v>1687</c:v>
                </c:pt>
                <c:pt idx="2">
                  <c:v>1798</c:v>
                </c:pt>
                <c:pt idx="3">
                  <c:v>1755</c:v>
                </c:pt>
                <c:pt idx="4">
                  <c:v>1738</c:v>
                </c:pt>
                <c:pt idx="5">
                  <c:v>1827</c:v>
                </c:pt>
                <c:pt idx="6">
                  <c:v>2051</c:v>
                </c:pt>
                <c:pt idx="7">
                  <c:v>2296</c:v>
                </c:pt>
                <c:pt idx="8">
                  <c:v>2437</c:v>
                </c:pt>
                <c:pt idx="9">
                  <c:v>1902</c:v>
                </c:pt>
                <c:pt idx="10">
                  <c:v>2530</c:v>
                </c:pt>
              </c:numCache>
            </c:numRef>
          </c:val>
          <c:smooth val="0"/>
          <c:extLst>
            <c:ext xmlns:c16="http://schemas.microsoft.com/office/drawing/2014/chart" uri="{C3380CC4-5D6E-409C-BE32-E72D297353CC}">
              <c16:uniqueId val="{00000004-1F37-428F-A6B2-6E8C505AB78D}"/>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12m'!$K$62</c:f>
          <c:strCache>
            <c:ptCount val="1"/>
            <c:pt idx="0">
              <c:v>Average annual operating profit per vessel (£'000)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C2B5-462A-97DB-7F40A09A793D}"/>
              </c:ext>
            </c:extLst>
          </c:dPt>
          <c:dPt>
            <c:idx val="10"/>
            <c:bubble3D val="0"/>
            <c:spPr>
              <a:ln w="57150">
                <a:solidFill>
                  <a:schemeClr val="accent5"/>
                </a:solidFill>
                <a:prstDash val="sysDot"/>
              </a:ln>
            </c:spPr>
            <c:extLst>
              <c:ext xmlns:c16="http://schemas.microsoft.com/office/drawing/2014/chart" uri="{C3380CC4-5D6E-409C-BE32-E72D297353CC}">
                <c16:uniqueId val="{00000003-C2B5-462A-97DB-7F40A09A793D}"/>
              </c:ext>
            </c:extLst>
          </c:dPt>
          <c:cat>
            <c:numRef>
              <c:f>'Pots and traps over 12m'!$D$2:$M$2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'Pots and traps over 12m'!$D$37:$N$37</c:f>
              <c:numCache>
                <c:formatCode>#,##0.0</c:formatCode>
                <c:ptCount val="11"/>
                <c:pt idx="0">
                  <c:v>35</c:v>
                </c:pt>
                <c:pt idx="1">
                  <c:v>81.7</c:v>
                </c:pt>
                <c:pt idx="2">
                  <c:v>73.8</c:v>
                </c:pt>
                <c:pt idx="3">
                  <c:v>97.1</c:v>
                </c:pt>
                <c:pt idx="4">
                  <c:v>98.8</c:v>
                </c:pt>
                <c:pt idx="5">
                  <c:v>115.9</c:v>
                </c:pt>
                <c:pt idx="6">
                  <c:v>162.1</c:v>
                </c:pt>
                <c:pt idx="7">
                  <c:v>143</c:v>
                </c:pt>
                <c:pt idx="8">
                  <c:v>135.9</c:v>
                </c:pt>
                <c:pt idx="9">
                  <c:v>87.5</c:v>
                </c:pt>
                <c:pt idx="10">
                  <c:v>128.19999999999999</c:v>
                </c:pt>
              </c:numCache>
            </c:numRef>
          </c:val>
          <c:smooth val="0"/>
          <c:extLst>
            <c:ext xmlns:c16="http://schemas.microsoft.com/office/drawing/2014/chart" uri="{C3380CC4-5D6E-409C-BE32-E72D297353CC}">
              <c16:uniqueId val="{00000004-C2B5-462A-97DB-7F40A09A793D}"/>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over 12m'!$A$76</c:f>
          <c:strCache>
            <c:ptCount val="1"/>
            <c:pt idx="0">
              <c:v>Top 5 landed species by volume in 2020
Pots and traps over 12m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BB3F-40B5-A030-90F77938028E}"/>
              </c:ext>
            </c:extLst>
          </c:dPt>
          <c:dPt>
            <c:idx val="1"/>
            <c:bubble3D val="0"/>
            <c:spPr>
              <a:solidFill>
                <a:srgbClr val="E87308"/>
              </a:solidFill>
              <a:ln>
                <a:solidFill>
                  <a:srgbClr val="FFFFFF"/>
                </a:solidFill>
              </a:ln>
            </c:spPr>
            <c:extLst>
              <c:ext xmlns:c16="http://schemas.microsoft.com/office/drawing/2014/chart" uri="{C3380CC4-5D6E-409C-BE32-E72D297353CC}">
                <c16:uniqueId val="{00000003-BB3F-40B5-A030-90F77938028E}"/>
              </c:ext>
            </c:extLst>
          </c:dPt>
          <c:dPt>
            <c:idx val="2"/>
            <c:bubble3D val="0"/>
            <c:spPr>
              <a:solidFill>
                <a:srgbClr val="648C2E"/>
              </a:solidFill>
              <a:ln>
                <a:solidFill>
                  <a:srgbClr val="FFFFFF"/>
                </a:solidFill>
              </a:ln>
            </c:spPr>
            <c:extLst>
              <c:ext xmlns:c16="http://schemas.microsoft.com/office/drawing/2014/chart" uri="{C3380CC4-5D6E-409C-BE32-E72D297353CC}">
                <c16:uniqueId val="{00000005-BB3F-40B5-A030-90F77938028E}"/>
              </c:ext>
            </c:extLst>
          </c:dPt>
          <c:dPt>
            <c:idx val="3"/>
            <c:bubble3D val="0"/>
            <c:spPr>
              <a:solidFill>
                <a:srgbClr val="C1D119"/>
              </a:solidFill>
              <a:ln>
                <a:solidFill>
                  <a:srgbClr val="FFFFFF"/>
                </a:solidFill>
              </a:ln>
            </c:spPr>
            <c:extLst>
              <c:ext xmlns:c16="http://schemas.microsoft.com/office/drawing/2014/chart" uri="{C3380CC4-5D6E-409C-BE32-E72D297353CC}">
                <c16:uniqueId val="{00000007-BB3F-40B5-A030-90F77938028E}"/>
              </c:ext>
            </c:extLst>
          </c:dPt>
          <c:dPt>
            <c:idx val="4"/>
            <c:bubble3D val="0"/>
            <c:spPr>
              <a:solidFill>
                <a:srgbClr val="E84A38"/>
              </a:solidFill>
              <a:ln>
                <a:solidFill>
                  <a:srgbClr val="FFFFFF"/>
                </a:solidFill>
              </a:ln>
            </c:spPr>
            <c:extLst>
              <c:ext xmlns:c16="http://schemas.microsoft.com/office/drawing/2014/chart" uri="{C3380CC4-5D6E-409C-BE32-E72D297353CC}">
                <c16:uniqueId val="{00000009-BB3F-40B5-A030-90F77938028E}"/>
              </c:ext>
            </c:extLst>
          </c:dPt>
          <c:dPt>
            <c:idx val="5"/>
            <c:bubble3D val="0"/>
            <c:spPr>
              <a:solidFill>
                <a:srgbClr val="55585A"/>
              </a:solidFill>
              <a:ln>
                <a:solidFill>
                  <a:srgbClr val="FFFFFF"/>
                </a:solidFill>
              </a:ln>
            </c:spPr>
            <c:extLst>
              <c:ext xmlns:c16="http://schemas.microsoft.com/office/drawing/2014/chart" uri="{C3380CC4-5D6E-409C-BE32-E72D297353CC}">
                <c16:uniqueId val="{0000000B-BB3F-40B5-A030-90F77938028E}"/>
              </c:ext>
            </c:extLst>
          </c:dPt>
          <c:cat>
            <c:strRef>
              <c:f>'Pots and traps over 12m'!$B$77:$B$82</c:f>
              <c:strCache>
                <c:ptCount val="6"/>
                <c:pt idx="0">
                  <c:v>Brown Crab - 61.6%</c:v>
                </c:pt>
                <c:pt idx="1">
                  <c:v>Whelks - 35.3%</c:v>
                </c:pt>
                <c:pt idx="2">
                  <c:v>Lobsters - 2.1%</c:v>
                </c:pt>
                <c:pt idx="3">
                  <c:v>Nephrops - 0.4%</c:v>
                </c:pt>
                <c:pt idx="4">
                  <c:v>Brown Shrimps - 0.2%</c:v>
                </c:pt>
                <c:pt idx="5">
                  <c:v>Others - 0.4%</c:v>
                </c:pt>
              </c:strCache>
            </c:strRef>
          </c:cat>
          <c:val>
            <c:numRef>
              <c:f>'Pots and traps over 12m'!$C$77:$C$82</c:f>
              <c:numCache>
                <c:formatCode>0.0%</c:formatCode>
                <c:ptCount val="6"/>
                <c:pt idx="0">
                  <c:v>0.61586027816741018</c:v>
                </c:pt>
                <c:pt idx="1">
                  <c:v>0.35330504401675183</c:v>
                </c:pt>
                <c:pt idx="2">
                  <c:v>2.1035140272251018E-2</c:v>
                </c:pt>
                <c:pt idx="3">
                  <c:v>3.8550075430652461E-3</c:v>
                </c:pt>
                <c:pt idx="4">
                  <c:v>1.9875374198097288E-3</c:v>
                </c:pt>
                <c:pt idx="5">
                  <c:v>3.9569925807119155E-3</c:v>
                </c:pt>
              </c:numCache>
            </c:numRef>
          </c:val>
          <c:extLst>
            <c:ext xmlns:c16="http://schemas.microsoft.com/office/drawing/2014/chart" uri="{C3380CC4-5D6E-409C-BE32-E72D297353CC}">
              <c16:uniqueId val="{0000000C-BB3F-40B5-A030-90F77938028E}"/>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over 12m'!$F$76</c:f>
          <c:strCache>
            <c:ptCount val="1"/>
            <c:pt idx="0">
              <c:v>Top 5 landed species by value in 2020
Pots and traps over 12m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17ED-4A36-B3FC-8BFE4FC03CD8}"/>
              </c:ext>
            </c:extLst>
          </c:dPt>
          <c:dPt>
            <c:idx val="1"/>
            <c:bubble3D val="0"/>
            <c:spPr>
              <a:solidFill>
                <a:srgbClr val="E87308"/>
              </a:solidFill>
              <a:ln>
                <a:solidFill>
                  <a:srgbClr val="FFFFFF"/>
                </a:solidFill>
              </a:ln>
            </c:spPr>
            <c:extLst>
              <c:ext xmlns:c16="http://schemas.microsoft.com/office/drawing/2014/chart" uri="{C3380CC4-5D6E-409C-BE32-E72D297353CC}">
                <c16:uniqueId val="{00000003-17ED-4A36-B3FC-8BFE4FC03CD8}"/>
              </c:ext>
            </c:extLst>
          </c:dPt>
          <c:dPt>
            <c:idx val="2"/>
            <c:bubble3D val="0"/>
            <c:spPr>
              <a:solidFill>
                <a:srgbClr val="648C2E"/>
              </a:solidFill>
              <a:ln>
                <a:solidFill>
                  <a:srgbClr val="FFFFFF"/>
                </a:solidFill>
              </a:ln>
            </c:spPr>
            <c:extLst>
              <c:ext xmlns:c16="http://schemas.microsoft.com/office/drawing/2014/chart" uri="{C3380CC4-5D6E-409C-BE32-E72D297353CC}">
                <c16:uniqueId val="{00000005-17ED-4A36-B3FC-8BFE4FC03CD8}"/>
              </c:ext>
            </c:extLst>
          </c:dPt>
          <c:dPt>
            <c:idx val="3"/>
            <c:bubble3D val="0"/>
            <c:spPr>
              <a:solidFill>
                <a:srgbClr val="C1D119"/>
              </a:solidFill>
              <a:ln>
                <a:solidFill>
                  <a:srgbClr val="FFFFFF"/>
                </a:solidFill>
              </a:ln>
            </c:spPr>
            <c:extLst>
              <c:ext xmlns:c16="http://schemas.microsoft.com/office/drawing/2014/chart" uri="{C3380CC4-5D6E-409C-BE32-E72D297353CC}">
                <c16:uniqueId val="{00000007-17ED-4A36-B3FC-8BFE4FC03CD8}"/>
              </c:ext>
            </c:extLst>
          </c:dPt>
          <c:dPt>
            <c:idx val="4"/>
            <c:bubble3D val="0"/>
            <c:spPr>
              <a:solidFill>
                <a:srgbClr val="E84A38"/>
              </a:solidFill>
              <a:ln>
                <a:solidFill>
                  <a:srgbClr val="FFFFFF"/>
                </a:solidFill>
              </a:ln>
            </c:spPr>
            <c:extLst>
              <c:ext xmlns:c16="http://schemas.microsoft.com/office/drawing/2014/chart" uri="{C3380CC4-5D6E-409C-BE32-E72D297353CC}">
                <c16:uniqueId val="{00000009-17ED-4A36-B3FC-8BFE4FC03CD8}"/>
              </c:ext>
            </c:extLst>
          </c:dPt>
          <c:dPt>
            <c:idx val="5"/>
            <c:bubble3D val="0"/>
            <c:spPr>
              <a:solidFill>
                <a:srgbClr val="55585A"/>
              </a:solidFill>
              <a:ln>
                <a:solidFill>
                  <a:srgbClr val="FFFFFF"/>
                </a:solidFill>
              </a:ln>
            </c:spPr>
            <c:extLst>
              <c:ext xmlns:c16="http://schemas.microsoft.com/office/drawing/2014/chart" uri="{C3380CC4-5D6E-409C-BE32-E72D297353CC}">
                <c16:uniqueId val="{0000000B-17ED-4A36-B3FC-8BFE4FC03CD8}"/>
              </c:ext>
            </c:extLst>
          </c:dPt>
          <c:cat>
            <c:strRef>
              <c:f>'Pots and traps over 12m'!$G$77:$G$82</c:f>
              <c:strCache>
                <c:ptCount val="6"/>
                <c:pt idx="0">
                  <c:v>Brown Crab - 59.3%</c:v>
                </c:pt>
                <c:pt idx="1">
                  <c:v>Whelks - 23.4%</c:v>
                </c:pt>
                <c:pt idx="2">
                  <c:v>Lobsters - 14.9%</c:v>
                </c:pt>
                <c:pt idx="3">
                  <c:v>Nephrops - 1.7%</c:v>
                </c:pt>
                <c:pt idx="4">
                  <c:v>Brown Shrimps - 0.4%</c:v>
                </c:pt>
                <c:pt idx="5">
                  <c:v>Others - 0.4%</c:v>
                </c:pt>
              </c:strCache>
            </c:strRef>
          </c:cat>
          <c:val>
            <c:numRef>
              <c:f>'Pots and traps over 12m'!$H$77:$H$82</c:f>
              <c:numCache>
                <c:formatCode>0.0%</c:formatCode>
                <c:ptCount val="6"/>
                <c:pt idx="0">
                  <c:v>0.59275456019604778</c:v>
                </c:pt>
                <c:pt idx="1">
                  <c:v>0.23364085064719767</c:v>
                </c:pt>
                <c:pt idx="2">
                  <c:v>0.14887459243449189</c:v>
                </c:pt>
                <c:pt idx="3">
                  <c:v>1.6723683011073562E-2</c:v>
                </c:pt>
                <c:pt idx="4">
                  <c:v>3.9467696989131914E-3</c:v>
                </c:pt>
                <c:pt idx="5">
                  <c:v>4.0595440122760396E-3</c:v>
                </c:pt>
              </c:numCache>
            </c:numRef>
          </c:val>
          <c:extLst>
            <c:ext xmlns:c16="http://schemas.microsoft.com/office/drawing/2014/chart" uri="{C3380CC4-5D6E-409C-BE32-E72D297353CC}">
              <c16:uniqueId val="{0000000C-17ED-4A36-B3FC-8BFE4FC03CD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over 12m'!$K$77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'Pots and traps over 12m'!$C$92</c:f>
              <c:strCache>
                <c:ptCount val="1"/>
                <c:pt idx="0">
                  <c:v>Brown Crab</c:v>
                </c:pt>
              </c:strCache>
            </c:strRef>
          </c:tx>
          <c:spPr>
            <a:solidFill>
              <a:srgbClr val="2273B9"/>
            </a:solidFill>
            <a:ln>
              <a:solidFill>
                <a:srgbClr val="FFFFFF"/>
              </a:solidFill>
            </a:ln>
          </c:spPr>
          <c:invertIfNegative val="0"/>
          <c:cat>
            <c:numRef>
              <c:f>'Pots and traps over 12m'!$D$91:$M$91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'Pots and traps over 12m'!$D$92:$M$92</c:f>
              <c:numCache>
                <c:formatCode>0%</c:formatCode>
                <c:ptCount val="10"/>
                <c:pt idx="0">
                  <c:v>0.67663793251118509</c:v>
                </c:pt>
                <c:pt idx="1">
                  <c:v>0.67977824862740532</c:v>
                </c:pt>
                <c:pt idx="2">
                  <c:v>0.69243140028507311</c:v>
                </c:pt>
                <c:pt idx="3">
                  <c:v>0.65413165043225752</c:v>
                </c:pt>
                <c:pt idx="4">
                  <c:v>0.66033505100882339</c:v>
                </c:pt>
                <c:pt idx="5">
                  <c:v>0.66462118650004021</c:v>
                </c:pt>
                <c:pt idx="6">
                  <c:v>0.73255654206887422</c:v>
                </c:pt>
                <c:pt idx="7">
                  <c:v>0.70205349729842748</c:v>
                </c:pt>
                <c:pt idx="8">
                  <c:v>0.59275456019604778</c:v>
                </c:pt>
                <c:pt idx="9">
                  <c:v>0.6541186506242036</c:v>
                </c:pt>
              </c:numCache>
            </c:numRef>
          </c:val>
          <c:extLst>
            <c:ext xmlns:c16="http://schemas.microsoft.com/office/drawing/2014/chart" uri="{C3380CC4-5D6E-409C-BE32-E72D297353CC}">
              <c16:uniqueId val="{00000000-BD9C-467C-9C34-16FF95278FCD}"/>
            </c:ext>
          </c:extLst>
        </c:ser>
        <c:ser>
          <c:idx val="1"/>
          <c:order val="1"/>
          <c:tx>
            <c:strRef>
              <c:f>'Pots and traps over 12m'!$C$93</c:f>
              <c:strCache>
                <c:ptCount val="1"/>
                <c:pt idx="0">
                  <c:v>Whelks</c:v>
                </c:pt>
              </c:strCache>
            </c:strRef>
          </c:tx>
          <c:spPr>
            <a:solidFill>
              <a:srgbClr val="E87308"/>
            </a:solidFill>
            <a:ln>
              <a:solidFill>
                <a:srgbClr val="FFFFFF"/>
              </a:solidFill>
            </a:ln>
          </c:spPr>
          <c:invertIfNegative val="0"/>
          <c:cat>
            <c:numRef>
              <c:f>'Pots and traps over 12m'!$D$91:$M$91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'Pots and traps over 12m'!$D$93:$M$93</c:f>
              <c:numCache>
                <c:formatCode>0%</c:formatCode>
                <c:ptCount val="10"/>
                <c:pt idx="0">
                  <c:v>0.10756021405013758</c:v>
                </c:pt>
                <c:pt idx="1">
                  <c:v>0.1061580473915284</c:v>
                </c:pt>
                <c:pt idx="2">
                  <c:v>0.12423942581482358</c:v>
                </c:pt>
                <c:pt idx="3">
                  <c:v>0.14778877413796834</c:v>
                </c:pt>
                <c:pt idx="4">
                  <c:v>0.15345906873446735</c:v>
                </c:pt>
                <c:pt idx="5">
                  <c:v>0.15995747732680929</c:v>
                </c:pt>
                <c:pt idx="6">
                  <c:v>0.14696891698413386</c:v>
                </c:pt>
                <c:pt idx="7">
                  <c:v>0.17037452459899621</c:v>
                </c:pt>
                <c:pt idx="8">
                  <c:v>0.23364085064719767</c:v>
                </c:pt>
                <c:pt idx="9">
                  <c:v>0.1424786449092359</c:v>
                </c:pt>
              </c:numCache>
            </c:numRef>
          </c:val>
          <c:extLst>
            <c:ext xmlns:c16="http://schemas.microsoft.com/office/drawing/2014/chart" uri="{C3380CC4-5D6E-409C-BE32-E72D297353CC}">
              <c16:uniqueId val="{00000001-BD9C-467C-9C34-16FF95278FCD}"/>
            </c:ext>
          </c:extLst>
        </c:ser>
        <c:ser>
          <c:idx val="2"/>
          <c:order val="2"/>
          <c:tx>
            <c:strRef>
              <c:f>'Pots and traps over 12m'!$C$94</c:f>
              <c:strCache>
                <c:ptCount val="1"/>
                <c:pt idx="0">
                  <c:v>Lobsters</c:v>
                </c:pt>
              </c:strCache>
            </c:strRef>
          </c:tx>
          <c:spPr>
            <a:solidFill>
              <a:srgbClr val="648C2E"/>
            </a:solidFill>
            <a:ln>
              <a:solidFill>
                <a:srgbClr val="FFFFFF"/>
              </a:solidFill>
            </a:ln>
          </c:spPr>
          <c:invertIfNegative val="0"/>
          <c:cat>
            <c:numRef>
              <c:f>'Pots and traps over 12m'!$D$91:$M$91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'Pots and traps over 12m'!$D$94:$M$94</c:f>
              <c:numCache>
                <c:formatCode>0%</c:formatCode>
                <c:ptCount val="10"/>
                <c:pt idx="0">
                  <c:v>0.16332224281775581</c:v>
                </c:pt>
                <c:pt idx="1">
                  <c:v>0.15729277865887065</c:v>
                </c:pt>
                <c:pt idx="2">
                  <c:v>0.15077805982380796</c:v>
                </c:pt>
                <c:pt idx="3">
                  <c:v>0.16861370937041739</c:v>
                </c:pt>
                <c:pt idx="4">
                  <c:v>0.16053082627641174</c:v>
                </c:pt>
                <c:pt idx="5">
                  <c:v>0.15247632974456912</c:v>
                </c:pt>
                <c:pt idx="6">
                  <c:v>0.10586523923883197</c:v>
                </c:pt>
                <c:pt idx="7">
                  <c:v>0.11316095070897172</c:v>
                </c:pt>
                <c:pt idx="8">
                  <c:v>0.14887459243449189</c:v>
                </c:pt>
                <c:pt idx="9">
                  <c:v>0.18356202569754601</c:v>
                </c:pt>
              </c:numCache>
            </c:numRef>
          </c:val>
          <c:extLst>
            <c:ext xmlns:c16="http://schemas.microsoft.com/office/drawing/2014/chart" uri="{C3380CC4-5D6E-409C-BE32-E72D297353CC}">
              <c16:uniqueId val="{00000002-BD9C-467C-9C34-16FF95278FCD}"/>
            </c:ext>
          </c:extLst>
        </c:ser>
        <c:ser>
          <c:idx val="3"/>
          <c:order val="3"/>
          <c:tx>
            <c:strRef>
              <c:f>'Pots and traps over 12m'!$C$95</c:f>
              <c:strCache>
                <c:ptCount val="1"/>
                <c:pt idx="0">
                  <c:v>Nephrops</c:v>
                </c:pt>
              </c:strCache>
            </c:strRef>
          </c:tx>
          <c:spPr>
            <a:solidFill>
              <a:srgbClr val="C1D119"/>
            </a:solidFill>
            <a:ln>
              <a:solidFill>
                <a:srgbClr val="FFFFFF"/>
              </a:solidFill>
            </a:ln>
          </c:spPr>
          <c:invertIfNegative val="0"/>
          <c:cat>
            <c:numRef>
              <c:f>'Pots and traps over 12m'!$D$91:$M$91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'Pots and traps over 12m'!$D$95:$M$95</c:f>
              <c:numCache>
                <c:formatCode>0%</c:formatCode>
                <c:ptCount val="10"/>
                <c:pt idx="0">
                  <c:v>3.699152784599799E-2</c:v>
                </c:pt>
                <c:pt idx="1">
                  <c:v>4.2932208388097436E-2</c:v>
                </c:pt>
                <c:pt idx="2">
                  <c:v>2.5251044650217627E-2</c:v>
                </c:pt>
                <c:pt idx="3">
                  <c:v>2.0866568835280486E-2</c:v>
                </c:pt>
                <c:pt idx="4">
                  <c:v>1.950985059495219E-2</c:v>
                </c:pt>
                <c:pt idx="5">
                  <c:v>1.4756666921675637E-2</c:v>
                </c:pt>
                <c:pt idx="6">
                  <c:v>8.8699309508836963E-3</c:v>
                </c:pt>
                <c:pt idx="7">
                  <c:v>1.0096175689268062E-2</c:v>
                </c:pt>
                <c:pt idx="8">
                  <c:v>1.6723683011073562E-2</c:v>
                </c:pt>
                <c:pt idx="9">
                  <c:v>1.5834486474049683E-2</c:v>
                </c:pt>
              </c:numCache>
            </c:numRef>
          </c:val>
          <c:extLst>
            <c:ext xmlns:c16="http://schemas.microsoft.com/office/drawing/2014/chart" uri="{C3380CC4-5D6E-409C-BE32-E72D297353CC}">
              <c16:uniqueId val="{00000003-BD9C-467C-9C34-16FF95278FCD}"/>
            </c:ext>
          </c:extLst>
        </c:ser>
        <c:ser>
          <c:idx val="4"/>
          <c:order val="4"/>
          <c:tx>
            <c:strRef>
              <c:f>'Pots and traps over 12m'!$C$96</c:f>
              <c:strCache>
                <c:ptCount val="1"/>
                <c:pt idx="0">
                  <c:v>Brown Shrimps</c:v>
                </c:pt>
              </c:strCache>
            </c:strRef>
          </c:tx>
          <c:spPr>
            <a:solidFill>
              <a:srgbClr val="E84A38"/>
            </a:solidFill>
            <a:ln>
              <a:solidFill>
                <a:srgbClr val="FFFFFF"/>
              </a:solidFill>
            </a:ln>
          </c:spPr>
          <c:invertIfNegative val="0"/>
          <c:cat>
            <c:numRef>
              <c:f>'Pots and traps over 12m'!$D$91:$M$91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'Pots and traps over 12m'!$D$96:$M$96</c:f>
              <c:numCache>
                <c:formatCode>0%</c:formatCode>
                <c:ptCount val="10"/>
                <c:pt idx="8">
                  <c:v>3.9467696989131914E-3</c:v>
                </c:pt>
              </c:numCache>
            </c:numRef>
          </c:val>
          <c:extLst>
            <c:ext xmlns:c16="http://schemas.microsoft.com/office/drawing/2014/chart" uri="{C3380CC4-5D6E-409C-BE32-E72D297353CC}">
              <c16:uniqueId val="{00000004-BD9C-467C-9C34-16FF95278FCD}"/>
            </c:ext>
          </c:extLst>
        </c:ser>
        <c:ser>
          <c:idx val="5"/>
          <c:order val="5"/>
          <c:tx>
            <c:strRef>
              <c:f>'Pots and traps over 12m'!$C$97</c:f>
              <c:strCache>
                <c:ptCount val="1"/>
                <c:pt idx="0">
                  <c:v>Scallops</c:v>
                </c:pt>
              </c:strCache>
            </c:strRef>
          </c:tx>
          <c:spPr>
            <a:solidFill>
              <a:srgbClr val="0F9AA9"/>
            </a:solidFill>
            <a:ln>
              <a:solidFill>
                <a:srgbClr val="FFFFFF"/>
              </a:solidFill>
            </a:ln>
          </c:spPr>
          <c:invertIfNegative val="0"/>
          <c:cat>
            <c:numRef>
              <c:f>'Pots and traps over 12m'!$D$91:$M$91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'Pots and traps over 12m'!$D$97:$M$97</c:f>
              <c:numCache>
                <c:formatCode>0%</c:formatCode>
                <c:ptCount val="10"/>
                <c:pt idx="3">
                  <c:v>3.9537384111871026E-3</c:v>
                </c:pt>
                <c:pt idx="4">
                  <c:v>2.0776714371792703E-3</c:v>
                </c:pt>
                <c:pt idx="5">
                  <c:v>4.4757795379987645E-3</c:v>
                </c:pt>
                <c:pt idx="6">
                  <c:v>3.1649023692059859E-3</c:v>
                </c:pt>
                <c:pt idx="7">
                  <c:v>2.3167284492398095E-3</c:v>
                </c:pt>
                <c:pt idx="9">
                  <c:v>1.8952454823939167E-3</c:v>
                </c:pt>
              </c:numCache>
            </c:numRef>
          </c:val>
          <c:extLst>
            <c:ext xmlns:c16="http://schemas.microsoft.com/office/drawing/2014/chart" uri="{C3380CC4-5D6E-409C-BE32-E72D297353CC}">
              <c16:uniqueId val="{00000005-BD9C-467C-9C34-16FF95278FCD}"/>
            </c:ext>
          </c:extLst>
        </c:ser>
        <c:ser>
          <c:idx val="6"/>
          <c:order val="6"/>
          <c:tx>
            <c:strRef>
              <c:f>'Pots and traps over 12m'!$C$98</c:f>
              <c:strCache>
                <c:ptCount val="1"/>
                <c:pt idx="0">
                  <c:v>Velvet Crab</c:v>
                </c:pt>
              </c:strCache>
            </c:strRef>
          </c:tx>
          <c:spPr>
            <a:solidFill>
              <a:srgbClr val="FED825"/>
            </a:solidFill>
            <a:ln>
              <a:solidFill>
                <a:srgbClr val="FFFFFF"/>
              </a:solidFill>
            </a:ln>
          </c:spPr>
          <c:invertIfNegative val="0"/>
          <c:cat>
            <c:numRef>
              <c:f>'Pots and traps over 12m'!$D$91:$M$91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'Pots and traps over 12m'!$D$98:$M$98</c:f>
              <c:numCache>
                <c:formatCode>0%</c:formatCode>
                <c:ptCount val="10"/>
                <c:pt idx="0">
                  <c:v>3.7513630349211811E-3</c:v>
                </c:pt>
                <c:pt idx="2">
                  <c:v>3.1131278096198133E-3</c:v>
                </c:pt>
              </c:numCache>
            </c:numRef>
          </c:val>
          <c:extLst>
            <c:ext xmlns:c16="http://schemas.microsoft.com/office/drawing/2014/chart" uri="{C3380CC4-5D6E-409C-BE32-E72D297353CC}">
              <c16:uniqueId val="{00000006-BD9C-467C-9C34-16FF95278FCD}"/>
            </c:ext>
          </c:extLst>
        </c:ser>
        <c:ser>
          <c:idx val="7"/>
          <c:order val="7"/>
          <c:tx>
            <c:strRef>
              <c:f>'Pots and traps over 12m'!$C$99</c:f>
              <c:strCache>
                <c:ptCount val="1"/>
                <c:pt idx="0">
                  <c:v>Pollack</c:v>
                </c:pt>
              </c:strCache>
            </c:strRef>
          </c:tx>
          <c:spPr>
            <a:solidFill>
              <a:srgbClr val="707271"/>
            </a:solidFill>
            <a:ln>
              <a:solidFill>
                <a:srgbClr val="FFFFFF"/>
              </a:solidFill>
            </a:ln>
          </c:spPr>
          <c:invertIfNegative val="0"/>
          <c:cat>
            <c:numRef>
              <c:f>'Pots and traps over 12m'!$D$91:$M$91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'Pots and traps over 12m'!$D$99:$M$99</c:f>
              <c:numCache>
                <c:formatCode>0%</c:formatCode>
                <c:ptCount val="10"/>
                <c:pt idx="1">
                  <c:v>5.2680328548295654E-3</c:v>
                </c:pt>
              </c:numCache>
            </c:numRef>
          </c:val>
          <c:extLst>
            <c:ext xmlns:c16="http://schemas.microsoft.com/office/drawing/2014/chart" uri="{C3380CC4-5D6E-409C-BE32-E72D297353CC}">
              <c16:uniqueId val="{00000007-BD9C-467C-9C34-16FF95278FCD}"/>
            </c:ext>
          </c:extLst>
        </c:ser>
        <c:ser>
          <c:idx val="8"/>
          <c:order val="8"/>
          <c:tx>
            <c:strRef>
              <c:f>'Pots and traps over 12m'!$C$100</c:f>
              <c:strCache>
                <c:ptCount val="1"/>
                <c:pt idx="0">
                  <c:v>Others</c:v>
                </c:pt>
              </c:strCache>
            </c:strRef>
          </c:tx>
          <c:spPr>
            <a:solidFill>
              <a:srgbClr val="55585A"/>
            </a:solidFill>
            <a:ln>
              <a:solidFill>
                <a:srgbClr val="FFFFFF"/>
              </a:solidFill>
            </a:ln>
          </c:spPr>
          <c:invertIfNegative val="0"/>
          <c:cat>
            <c:numRef>
              <c:f>'Pots and traps over 12m'!$D$91:$M$91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'Pots and traps over 12m'!$D$100:$M$100</c:f>
              <c:numCache>
                <c:formatCode>0%</c:formatCode>
                <c:ptCount val="10"/>
                <c:pt idx="0">
                  <c:v>1.1736719740002302E-2</c:v>
                </c:pt>
                <c:pt idx="1">
                  <c:v>8.5706840792686215E-3</c:v>
                </c:pt>
                <c:pt idx="2">
                  <c:v>4.1869416164579442E-3</c:v>
                </c:pt>
                <c:pt idx="3">
                  <c:v>4.6455588128891988E-3</c:v>
                </c:pt>
                <c:pt idx="4">
                  <c:v>4.087531948166064E-3</c:v>
                </c:pt>
                <c:pt idx="5">
                  <c:v>3.7125599689069337E-3</c:v>
                </c:pt>
                <c:pt idx="6">
                  <c:v>2.5744683880702711E-3</c:v>
                </c:pt>
                <c:pt idx="7">
                  <c:v>1.9981232550967038E-3</c:v>
                </c:pt>
                <c:pt idx="8">
                  <c:v>4.0595440122758791E-3</c:v>
                </c:pt>
                <c:pt idx="9">
                  <c:v>2.1109468125709058E-3</c:v>
                </c:pt>
              </c:numCache>
            </c:numRef>
          </c:val>
          <c:extLst>
            <c:ext xmlns:c16="http://schemas.microsoft.com/office/drawing/2014/chart" uri="{C3380CC4-5D6E-409C-BE32-E72D297353CC}">
              <c16:uniqueId val="{00000008-BD9C-467C-9C34-16FF95278FCD}"/>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'Pots and traps over 12m'!$B$162</c:f>
              <c:strCache>
                <c:ptCount val="1"/>
                <c:pt idx="0">
                  <c:v>Brown Crab</c:v>
                </c:pt>
              </c:strCache>
            </c:strRef>
          </c:tx>
          <c:spPr>
            <a:solidFill>
              <a:srgbClr val="2273B9"/>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12m'!$C$162:$E$162</c:f>
              <c:numCache>
                <c:formatCode>0%</c:formatCode>
                <c:ptCount val="3"/>
                <c:pt idx="0">
                  <c:v>0.36960689468481445</c:v>
                </c:pt>
                <c:pt idx="1">
                  <c:v>0.62622719849648256</c:v>
                </c:pt>
                <c:pt idx="2">
                  <c:v>0.83537866446714681</c:v>
                </c:pt>
              </c:numCache>
            </c:numRef>
          </c:val>
          <c:extLst>
            <c:ext xmlns:c16="http://schemas.microsoft.com/office/drawing/2014/chart" uri="{C3380CC4-5D6E-409C-BE32-E72D297353CC}">
              <c16:uniqueId val="{00000000-D472-4773-BBDA-A503004CBE43}"/>
            </c:ext>
          </c:extLst>
        </c:ser>
        <c:ser>
          <c:idx val="1"/>
          <c:order val="1"/>
          <c:tx>
            <c:strRef>
              <c:f>'Pots and traps over 12m'!$B$163</c:f>
              <c:strCache>
                <c:ptCount val="1"/>
                <c:pt idx="0">
                  <c:v>Whelks</c:v>
                </c:pt>
              </c:strCache>
            </c:strRef>
          </c:tx>
          <c:spPr>
            <a:solidFill>
              <a:srgbClr val="E87308"/>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12m'!$C$163:$E$163</c:f>
              <c:numCache>
                <c:formatCode>0%</c:formatCode>
                <c:ptCount val="3"/>
                <c:pt idx="0">
                  <c:v>0.27819323105568733</c:v>
                </c:pt>
                <c:pt idx="1">
                  <c:v>0.34735457115827734</c:v>
                </c:pt>
                <c:pt idx="2">
                  <c:v>7.1771751727771643E-2</c:v>
                </c:pt>
              </c:numCache>
            </c:numRef>
          </c:val>
          <c:extLst>
            <c:ext xmlns:c16="http://schemas.microsoft.com/office/drawing/2014/chart" uri="{C3380CC4-5D6E-409C-BE32-E72D297353CC}">
              <c16:uniqueId val="{00000001-D472-4773-BBDA-A503004CBE43}"/>
            </c:ext>
          </c:extLst>
        </c:ser>
        <c:ser>
          <c:idx val="2"/>
          <c:order val="2"/>
          <c:tx>
            <c:strRef>
              <c:f>'Pots and traps over 12m'!$B$164</c:f>
              <c:strCache>
                <c:ptCount val="1"/>
                <c:pt idx="0">
                  <c:v>Lobsters</c:v>
                </c:pt>
              </c:strCache>
            </c:strRef>
          </c:tx>
          <c:spPr>
            <a:solidFill>
              <a:srgbClr val="648C2E"/>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12m'!$C$164:$E$164</c:f>
              <c:numCache>
                <c:formatCode>0%</c:formatCode>
                <c:ptCount val="3"/>
                <c:pt idx="0">
                  <c:v>1.584560833799812E-2</c:v>
                </c:pt>
                <c:pt idx="1">
                  <c:v>1.6120065051104006E-2</c:v>
                </c:pt>
                <c:pt idx="2">
                  <c:v>4.4713340195861817E-2</c:v>
                </c:pt>
              </c:numCache>
            </c:numRef>
          </c:val>
          <c:extLst>
            <c:ext xmlns:c16="http://schemas.microsoft.com/office/drawing/2014/chart" uri="{C3380CC4-5D6E-409C-BE32-E72D297353CC}">
              <c16:uniqueId val="{00000002-D472-4773-BBDA-A503004CBE43}"/>
            </c:ext>
          </c:extLst>
        </c:ser>
        <c:ser>
          <c:idx val="3"/>
          <c:order val="3"/>
          <c:tx>
            <c:strRef>
              <c:f>'Pots and traps over 12m'!$B$165</c:f>
              <c:strCache>
                <c:ptCount val="1"/>
                <c:pt idx="0">
                  <c:v>Nephrops</c:v>
                </c:pt>
              </c:strCache>
            </c:strRef>
          </c:tx>
          <c:spPr>
            <a:solidFill>
              <a:srgbClr val="C1D119"/>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12m'!$C$165:$E$165</c:f>
              <c:numCache>
                <c:formatCode>0%</c:formatCode>
                <c:ptCount val="3"/>
                <c:pt idx="0">
                  <c:v>0</c:v>
                </c:pt>
                <c:pt idx="1">
                  <c:v>4.1006168125866816E-3</c:v>
                </c:pt>
                <c:pt idx="2">
                  <c:v>2.1285955473175321E-2</c:v>
                </c:pt>
              </c:numCache>
            </c:numRef>
          </c:val>
          <c:extLst>
            <c:ext xmlns:c16="http://schemas.microsoft.com/office/drawing/2014/chart" uri="{C3380CC4-5D6E-409C-BE32-E72D297353CC}">
              <c16:uniqueId val="{00000003-D472-4773-BBDA-A503004CBE43}"/>
            </c:ext>
          </c:extLst>
        </c:ser>
        <c:ser>
          <c:idx val="4"/>
          <c:order val="4"/>
          <c:tx>
            <c:strRef>
              <c:f>'Pots and traps over 12m'!$B$166</c:f>
              <c:strCache>
                <c:ptCount val="1"/>
                <c:pt idx="0">
                  <c:v>Brown Shrimps</c:v>
                </c:pt>
              </c:strCache>
            </c:strRef>
          </c:tx>
          <c:spPr>
            <a:solidFill>
              <a:srgbClr val="E84A38"/>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12m'!$C$166:$E$166</c:f>
              <c:numCache>
                <c:formatCode>0%</c:formatCode>
                <c:ptCount val="3"/>
                <c:pt idx="0">
                  <c:v>0</c:v>
                </c:pt>
                <c:pt idx="1">
                  <c:v>3.5428103550616047E-3</c:v>
                </c:pt>
                <c:pt idx="2">
                  <c:v>0</c:v>
                </c:pt>
              </c:numCache>
            </c:numRef>
          </c:val>
          <c:extLst>
            <c:ext xmlns:c16="http://schemas.microsoft.com/office/drawing/2014/chart" uri="{C3380CC4-5D6E-409C-BE32-E72D297353CC}">
              <c16:uniqueId val="{00000004-D472-4773-BBDA-A503004CBE43}"/>
            </c:ext>
          </c:extLst>
        </c:ser>
        <c:ser>
          <c:idx val="5"/>
          <c:order val="5"/>
          <c:tx>
            <c:strRef>
              <c:f>'Pots and traps over 12m'!$B$167</c:f>
              <c:strCache>
                <c:ptCount val="1"/>
                <c:pt idx="0">
                  <c:v>Scallops</c:v>
                </c:pt>
              </c:strCache>
            </c:strRef>
          </c:tx>
          <c:spPr>
            <a:solidFill>
              <a:srgbClr val="0F9AA9"/>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12m'!$C$167:$E$167</c:f>
              <c:numCache>
                <c:formatCode>0%</c:formatCode>
                <c:ptCount val="3"/>
                <c:pt idx="0">
                  <c:v>8.1307224657792862E-4</c:v>
                </c:pt>
                <c:pt idx="1">
                  <c:v>0</c:v>
                </c:pt>
                <c:pt idx="2">
                  <c:v>1.496487753914031E-2</c:v>
                </c:pt>
              </c:numCache>
            </c:numRef>
          </c:val>
          <c:extLst>
            <c:ext xmlns:c16="http://schemas.microsoft.com/office/drawing/2014/chart" uri="{C3380CC4-5D6E-409C-BE32-E72D297353CC}">
              <c16:uniqueId val="{00000005-D472-4773-BBDA-A503004CBE43}"/>
            </c:ext>
          </c:extLst>
        </c:ser>
        <c:ser>
          <c:idx val="6"/>
          <c:order val="6"/>
          <c:tx>
            <c:strRef>
              <c:f>'Pots and traps over 12m'!$B$168</c:f>
              <c:strCache>
                <c:ptCount val="1"/>
                <c:pt idx="0">
                  <c:v>Spider Crabs</c:v>
                </c:pt>
              </c:strCache>
            </c:strRef>
          </c:tx>
          <c:spPr>
            <a:solidFill>
              <a:srgbClr val="FED825"/>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12m'!$C$168:$E$168</c:f>
              <c:numCache>
                <c:formatCode>0%</c:formatCode>
                <c:ptCount val="3"/>
                <c:pt idx="0">
                  <c:v>3.0096975871638675E-4</c:v>
                </c:pt>
                <c:pt idx="1">
                  <c:v>0</c:v>
                </c:pt>
                <c:pt idx="2">
                  <c:v>0</c:v>
                </c:pt>
              </c:numCache>
            </c:numRef>
          </c:val>
          <c:extLst>
            <c:ext xmlns:c16="http://schemas.microsoft.com/office/drawing/2014/chart" uri="{C3380CC4-5D6E-409C-BE32-E72D297353CC}">
              <c16:uniqueId val="{00000006-D472-4773-BBDA-A503004CBE43}"/>
            </c:ext>
          </c:extLst>
        </c:ser>
        <c:ser>
          <c:idx val="7"/>
          <c:order val="7"/>
          <c:tx>
            <c:strRef>
              <c:f>'Pots and traps over 12m'!$B$169</c:f>
              <c:strCache>
                <c:ptCount val="1"/>
                <c:pt idx="0">
                  <c:v>Others</c:v>
                </c:pt>
              </c:strCache>
            </c:strRef>
          </c:tx>
          <c:spPr>
            <a:solidFill>
              <a:srgbClr val="55585A"/>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12m'!$C$169:$E$169</c:f>
              <c:numCache>
                <c:formatCode>0%</c:formatCode>
                <c:ptCount val="3"/>
                <c:pt idx="0">
                  <c:v>0.33524022391620589</c:v>
                </c:pt>
                <c:pt idx="1">
                  <c:v>2.6547381264877545E-3</c:v>
                </c:pt>
                <c:pt idx="2">
                  <c:v>1.1885410596904067E-2</c:v>
                </c:pt>
              </c:numCache>
            </c:numRef>
          </c:val>
          <c:extLst>
            <c:ext xmlns:c16="http://schemas.microsoft.com/office/drawing/2014/chart" uri="{C3380CC4-5D6E-409C-BE32-E72D297353CC}">
              <c16:uniqueId val="{00000007-D472-4773-BBDA-A503004CBE43}"/>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'Pots and traps over 12m'!$H$162</c:f>
              <c:strCache>
                <c:ptCount val="1"/>
                <c:pt idx="0">
                  <c:v>Brown Crab</c:v>
                </c:pt>
              </c:strCache>
            </c:strRef>
          </c:tx>
          <c:spPr>
            <a:solidFill>
              <a:srgbClr val="2273B9"/>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12m'!$I$162:$K$162</c:f>
              <c:numCache>
                <c:formatCode>0%</c:formatCode>
                <c:ptCount val="3"/>
                <c:pt idx="0">
                  <c:v>0.29823951878415289</c:v>
                </c:pt>
                <c:pt idx="1">
                  <c:v>0.62525103901579382</c:v>
                </c:pt>
                <c:pt idx="2">
                  <c:v>0.59388539987032396</c:v>
                </c:pt>
              </c:numCache>
            </c:numRef>
          </c:val>
          <c:extLst>
            <c:ext xmlns:c16="http://schemas.microsoft.com/office/drawing/2014/chart" uri="{C3380CC4-5D6E-409C-BE32-E72D297353CC}">
              <c16:uniqueId val="{00000000-6C43-4C71-90BC-8BF1ABB91764}"/>
            </c:ext>
          </c:extLst>
        </c:ser>
        <c:ser>
          <c:idx val="1"/>
          <c:order val="1"/>
          <c:tx>
            <c:strRef>
              <c:f>'Pots and traps over 12m'!$H$163</c:f>
              <c:strCache>
                <c:ptCount val="1"/>
                <c:pt idx="0">
                  <c:v>Whelks</c:v>
                </c:pt>
              </c:strCache>
            </c:strRef>
          </c:tx>
          <c:spPr>
            <a:solidFill>
              <a:srgbClr val="E87308"/>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12m'!$I$163:$K$163</c:f>
              <c:numCache>
                <c:formatCode>0%</c:formatCode>
                <c:ptCount val="3"/>
                <c:pt idx="0">
                  <c:v>0.160564879708644</c:v>
                </c:pt>
                <c:pt idx="1">
                  <c:v>0.23146420095904843</c:v>
                </c:pt>
                <c:pt idx="2">
                  <c:v>3.5611889087962326E-2</c:v>
                </c:pt>
              </c:numCache>
            </c:numRef>
          </c:val>
          <c:extLst>
            <c:ext xmlns:c16="http://schemas.microsoft.com/office/drawing/2014/chart" uri="{C3380CC4-5D6E-409C-BE32-E72D297353CC}">
              <c16:uniqueId val="{00000001-6C43-4C71-90BC-8BF1ABB91764}"/>
            </c:ext>
          </c:extLst>
        </c:ser>
        <c:ser>
          <c:idx val="2"/>
          <c:order val="2"/>
          <c:tx>
            <c:strRef>
              <c:f>'Pots and traps over 12m'!$H$164</c:f>
              <c:strCache>
                <c:ptCount val="1"/>
                <c:pt idx="0">
                  <c:v>Lobsters</c:v>
                </c:pt>
              </c:strCache>
            </c:strRef>
          </c:tx>
          <c:spPr>
            <a:solidFill>
              <a:srgbClr val="648C2E"/>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12m'!$I$164:$K$164</c:f>
              <c:numCache>
                <c:formatCode>0%</c:formatCode>
                <c:ptCount val="3"/>
                <c:pt idx="0">
                  <c:v>0.10204601263771465</c:v>
                </c:pt>
                <c:pt idx="1">
                  <c:v>0.11607811867445358</c:v>
                </c:pt>
                <c:pt idx="2">
                  <c:v>0.19994840186509194</c:v>
                </c:pt>
              </c:numCache>
            </c:numRef>
          </c:val>
          <c:extLst>
            <c:ext xmlns:c16="http://schemas.microsoft.com/office/drawing/2014/chart" uri="{C3380CC4-5D6E-409C-BE32-E72D297353CC}">
              <c16:uniqueId val="{00000002-6C43-4C71-90BC-8BF1ABB91764}"/>
            </c:ext>
          </c:extLst>
        </c:ser>
        <c:ser>
          <c:idx val="3"/>
          <c:order val="3"/>
          <c:tx>
            <c:strRef>
              <c:f>'Pots and traps over 12m'!$H$165</c:f>
              <c:strCache>
                <c:ptCount val="1"/>
                <c:pt idx="0">
                  <c:v>Nephrops</c:v>
                </c:pt>
              </c:strCache>
            </c:strRef>
          </c:tx>
          <c:spPr>
            <a:solidFill>
              <a:srgbClr val="C1D119"/>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12m'!$I$165:$K$165</c:f>
              <c:numCache>
                <c:formatCode>0%</c:formatCode>
                <c:ptCount val="3"/>
                <c:pt idx="0">
                  <c:v>0</c:v>
                </c:pt>
                <c:pt idx="1">
                  <c:v>1.7292910083335368E-2</c:v>
                </c:pt>
                <c:pt idx="2">
                  <c:v>7.3909316636897551E-2</c:v>
                </c:pt>
              </c:numCache>
            </c:numRef>
          </c:val>
          <c:extLst>
            <c:ext xmlns:c16="http://schemas.microsoft.com/office/drawing/2014/chart" uri="{C3380CC4-5D6E-409C-BE32-E72D297353CC}">
              <c16:uniqueId val="{00000003-6C43-4C71-90BC-8BF1ABB91764}"/>
            </c:ext>
          </c:extLst>
        </c:ser>
        <c:ser>
          <c:idx val="4"/>
          <c:order val="4"/>
          <c:tx>
            <c:strRef>
              <c:f>'Pots and traps over 12m'!$H$166</c:f>
              <c:strCache>
                <c:ptCount val="1"/>
                <c:pt idx="0">
                  <c:v>Brown Shrimps</c:v>
                </c:pt>
              </c:strCache>
            </c:strRef>
          </c:tx>
          <c:spPr>
            <a:solidFill>
              <a:srgbClr val="E84A38"/>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12m'!$I$166:$K$166</c:f>
              <c:numCache>
                <c:formatCode>0%</c:formatCode>
                <c:ptCount val="3"/>
                <c:pt idx="0">
                  <c:v>0</c:v>
                </c:pt>
                <c:pt idx="1">
                  <c:v>7.200756995388231E-3</c:v>
                </c:pt>
                <c:pt idx="2">
                  <c:v>0</c:v>
                </c:pt>
              </c:numCache>
            </c:numRef>
          </c:val>
          <c:extLst>
            <c:ext xmlns:c16="http://schemas.microsoft.com/office/drawing/2014/chart" uri="{C3380CC4-5D6E-409C-BE32-E72D297353CC}">
              <c16:uniqueId val="{00000004-6C43-4C71-90BC-8BF1ABB91764}"/>
            </c:ext>
          </c:extLst>
        </c:ser>
        <c:ser>
          <c:idx val="5"/>
          <c:order val="5"/>
          <c:tx>
            <c:strRef>
              <c:f>'Pots and traps over 12m'!$H$167</c:f>
              <c:strCache>
                <c:ptCount val="1"/>
                <c:pt idx="0">
                  <c:v>Scallops</c:v>
                </c:pt>
              </c:strCache>
            </c:strRef>
          </c:tx>
          <c:spPr>
            <a:solidFill>
              <a:srgbClr val="0F9AA9"/>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12m'!$I$167:$K$167</c:f>
              <c:numCache>
                <c:formatCode>0%</c:formatCode>
                <c:ptCount val="3"/>
                <c:pt idx="0">
                  <c:v>9.4205581862145428E-4</c:v>
                </c:pt>
                <c:pt idx="1">
                  <c:v>0</c:v>
                </c:pt>
                <c:pt idx="2">
                  <c:v>1.1097363104398369E-2</c:v>
                </c:pt>
              </c:numCache>
            </c:numRef>
          </c:val>
          <c:extLst>
            <c:ext xmlns:c16="http://schemas.microsoft.com/office/drawing/2014/chart" uri="{C3380CC4-5D6E-409C-BE32-E72D297353CC}">
              <c16:uniqueId val="{00000005-6C43-4C71-90BC-8BF1ABB91764}"/>
            </c:ext>
          </c:extLst>
        </c:ser>
        <c:ser>
          <c:idx val="6"/>
          <c:order val="6"/>
          <c:tx>
            <c:strRef>
              <c:f>'Pots and traps over 12m'!$H$168</c:f>
              <c:strCache>
                <c:ptCount val="1"/>
                <c:pt idx="0">
                  <c:v>Spider Crabs</c:v>
                </c:pt>
              </c:strCache>
            </c:strRef>
          </c:tx>
          <c:spPr>
            <a:solidFill>
              <a:srgbClr val="FED825"/>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12m'!$I$168:$K$168</c:f>
              <c:numCache>
                <c:formatCode>0%</c:formatCode>
                <c:ptCount val="3"/>
                <c:pt idx="0">
                  <c:v>1.1108143476845441E-4</c:v>
                </c:pt>
                <c:pt idx="1">
                  <c:v>0</c:v>
                </c:pt>
                <c:pt idx="2">
                  <c:v>0</c:v>
                </c:pt>
              </c:numCache>
            </c:numRef>
          </c:val>
          <c:extLst>
            <c:ext xmlns:c16="http://schemas.microsoft.com/office/drawing/2014/chart" uri="{C3380CC4-5D6E-409C-BE32-E72D297353CC}">
              <c16:uniqueId val="{00000006-6C43-4C71-90BC-8BF1ABB91764}"/>
            </c:ext>
          </c:extLst>
        </c:ser>
        <c:ser>
          <c:idx val="7"/>
          <c:order val="7"/>
          <c:tx>
            <c:strRef>
              <c:f>'Pots and traps over 12m'!$H$169</c:f>
              <c:strCache>
                <c:ptCount val="1"/>
                <c:pt idx="0">
                  <c:v>Others</c:v>
                </c:pt>
              </c:strCache>
            </c:strRef>
          </c:tx>
          <c:spPr>
            <a:solidFill>
              <a:srgbClr val="55585A"/>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12m'!$I$169:$K$169</c:f>
              <c:numCache>
                <c:formatCode>0%</c:formatCode>
                <c:ptCount val="3"/>
                <c:pt idx="0">
                  <c:v>0.43809645161609856</c:v>
                </c:pt>
                <c:pt idx="1">
                  <c:v>2.7129742719805838E-3</c:v>
                </c:pt>
                <c:pt idx="2">
                  <c:v>8.55476294353259E-2</c:v>
                </c:pt>
              </c:numCache>
            </c:numRef>
          </c:val>
          <c:extLst>
            <c:ext xmlns:c16="http://schemas.microsoft.com/office/drawing/2014/chart" uri="{C3380CC4-5D6E-409C-BE32-E72D297353CC}">
              <c16:uniqueId val="{00000007-6C43-4C71-90BC-8BF1ABB91764}"/>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'Area VIIa nephrops o250kW'!$K$139</c:f>
              <c:strCache>
                <c:ptCount val="1"/>
                <c:pt idx="0">
                  <c:v>Total income</c:v>
                </c:pt>
              </c:strCache>
            </c:strRef>
          </c:tx>
          <c:spPr>
            <a:solidFill>
              <a:srgbClr val="087CBB"/>
            </a:solidFill>
            <a:ln>
              <a:solidFill>
                <a:schemeClr val="accent1"/>
              </a:solidFill>
            </a:ln>
          </c:spPr>
          <c:invertIfNegative val="0"/>
          <c:cat>
            <c:strRef>
              <c:f>'Area VIIa nephrops o250kW'!$L$138:$N$138</c:f>
              <c:strCache>
                <c:ptCount val="3"/>
                <c:pt idx="0">
                  <c:v>Most
profitable
quartile</c:v>
                </c:pt>
                <c:pt idx="1">
                  <c:v>Middle
two quartiles</c:v>
                </c:pt>
                <c:pt idx="2">
                  <c:v>Least
profitable
quartile</c:v>
                </c:pt>
              </c:strCache>
            </c:strRef>
          </c:cat>
          <c:val>
            <c:numRef>
              <c:f>'Area VIIa nephrops o250kW'!$L$139:$N$139</c:f>
              <c:numCache>
                <c:formatCode>#,##0</c:formatCode>
                <c:ptCount val="3"/>
                <c:pt idx="0">
                  <c:v>593.46493750000002</c:v>
                </c:pt>
                <c:pt idx="1">
                  <c:v>438.07953125</c:v>
                </c:pt>
                <c:pt idx="2">
                  <c:v>311.42043749999999</c:v>
                </c:pt>
              </c:numCache>
            </c:numRef>
          </c:val>
          <c:extLst>
            <c:ext xmlns:c16="http://schemas.microsoft.com/office/drawing/2014/chart" uri="{C3380CC4-5D6E-409C-BE32-E72D297353CC}">
              <c16:uniqueId val="{00000000-3044-4076-90F7-6CCBC271A8FD}"/>
            </c:ext>
          </c:extLst>
        </c:ser>
        <c:ser>
          <c:idx val="1"/>
          <c:order val="1"/>
          <c:tx>
            <c:strRef>
              <c:f>'Area VIIa nephrops o250kW'!$K$140</c:f>
              <c:strCache>
                <c:ptCount val="1"/>
                <c:pt idx="0">
                  <c:v>Operating costs</c:v>
                </c:pt>
              </c:strCache>
            </c:strRef>
          </c:tx>
          <c:spPr>
            <a:solidFill>
              <a:srgbClr val="E87308"/>
            </a:solidFill>
          </c:spPr>
          <c:invertIfNegative val="0"/>
          <c:cat>
            <c:strRef>
              <c:f>'Area VIIa nephrops o250kW'!$L$138:$N$138</c:f>
              <c:strCache>
                <c:ptCount val="3"/>
                <c:pt idx="0">
                  <c:v>Most
profitable
quartile</c:v>
                </c:pt>
                <c:pt idx="1">
                  <c:v>Middle
two quartiles</c:v>
                </c:pt>
                <c:pt idx="2">
                  <c:v>Least
profitable
quartile</c:v>
                </c:pt>
              </c:strCache>
            </c:strRef>
          </c:cat>
          <c:val>
            <c:numRef>
              <c:f>'Area VIIa nephrops o250kW'!$L$140:$N$140</c:f>
              <c:numCache>
                <c:formatCode>#,##0</c:formatCode>
                <c:ptCount val="3"/>
                <c:pt idx="0">
                  <c:v>418.613</c:v>
                </c:pt>
                <c:pt idx="1">
                  <c:v>324.41952083333302</c:v>
                </c:pt>
                <c:pt idx="2">
                  <c:v>243.87678124999999</c:v>
                </c:pt>
              </c:numCache>
            </c:numRef>
          </c:val>
          <c:extLst>
            <c:ext xmlns:c16="http://schemas.microsoft.com/office/drawing/2014/chart" uri="{C3380CC4-5D6E-409C-BE32-E72D297353CC}">
              <c16:uniqueId val="{00000001-3044-4076-90F7-6CCBC271A8FD}"/>
            </c:ext>
          </c:extLst>
        </c:ser>
        <c:ser>
          <c:idx val="2"/>
          <c:order val="2"/>
          <c:tx>
            <c:strRef>
              <c:f>'Area VIIa nephrops o250kW'!$K$141</c:f>
              <c:strCache>
                <c:ptCount val="1"/>
                <c:pt idx="0">
                  <c:v>Operating profit</c:v>
                </c:pt>
              </c:strCache>
            </c:strRef>
          </c:tx>
          <c:spPr>
            <a:solidFill>
              <a:srgbClr val="51AA81"/>
            </a:solidFill>
          </c:spPr>
          <c:invertIfNegative val="0"/>
          <c:cat>
            <c:strRef>
              <c:f>'Area VIIa nephrops o250kW'!$L$138:$N$138</c:f>
              <c:strCache>
                <c:ptCount val="3"/>
                <c:pt idx="0">
                  <c:v>Most
profitable
quartile</c:v>
                </c:pt>
                <c:pt idx="1">
                  <c:v>Middle
two quartiles</c:v>
                </c:pt>
                <c:pt idx="2">
                  <c:v>Least
profitable
quartile</c:v>
                </c:pt>
              </c:strCache>
            </c:strRef>
          </c:cat>
          <c:val>
            <c:numRef>
              <c:f>'Area VIIa nephrops o250kW'!$L$141:$N$141</c:f>
              <c:numCache>
                <c:formatCode>#,##0</c:formatCode>
                <c:ptCount val="3"/>
                <c:pt idx="0">
                  <c:v>174.85193749999999</c:v>
                </c:pt>
                <c:pt idx="1">
                  <c:v>113.66001041666701</c:v>
                </c:pt>
                <c:pt idx="2">
                  <c:v>67.543656249999998</c:v>
                </c:pt>
              </c:numCache>
            </c:numRef>
          </c:val>
          <c:extLst>
            <c:ext xmlns:c16="http://schemas.microsoft.com/office/drawing/2014/chart" uri="{C3380CC4-5D6E-409C-BE32-E72D297353CC}">
              <c16:uniqueId val="{00000002-3044-4076-90F7-6CCBC271A8FD}"/>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'Area VIIa nephrops o250kW'!$K$142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'Pots and traps over 12m'!$K$139</c:f>
              <c:strCache>
                <c:ptCount val="1"/>
                <c:pt idx="0">
                  <c:v>Total income</c:v>
                </c:pt>
              </c:strCache>
            </c:strRef>
          </c:tx>
          <c:spPr>
            <a:solidFill>
              <a:srgbClr val="087CBB"/>
            </a:solidFill>
            <a:ln>
              <a:solidFill>
                <a:schemeClr val="accent1"/>
              </a:solidFill>
            </a:ln>
          </c:spPr>
          <c:invertIfNegative val="0"/>
          <c:cat>
            <c:strRef>
              <c:f>'Pots and traps over 12m'!$L$138:$N$138</c:f>
              <c:strCache>
                <c:ptCount val="3"/>
                <c:pt idx="0">
                  <c:v>Most
profitable
quartile</c:v>
                </c:pt>
                <c:pt idx="1">
                  <c:v>Middle
two quartiles</c:v>
                </c:pt>
                <c:pt idx="2">
                  <c:v>Least
profitable
quartile</c:v>
                </c:pt>
              </c:strCache>
            </c:strRef>
          </c:cat>
          <c:val>
            <c:numRef>
              <c:f>'Pots and traps over 12m'!$L$139:$N$139</c:f>
              <c:numCache>
                <c:formatCode>#,##0</c:formatCode>
                <c:ptCount val="3"/>
                <c:pt idx="0">
                  <c:v>1194.1647499999999</c:v>
                </c:pt>
                <c:pt idx="1">
                  <c:v>497.88178066037699</c:v>
                </c:pt>
                <c:pt idx="2">
                  <c:v>181.99475000000001</c:v>
                </c:pt>
              </c:numCache>
            </c:numRef>
          </c:val>
          <c:extLst>
            <c:ext xmlns:c16="http://schemas.microsoft.com/office/drawing/2014/chart" uri="{C3380CC4-5D6E-409C-BE32-E72D297353CC}">
              <c16:uniqueId val="{00000000-681E-470E-88AB-A7C5794003EE}"/>
            </c:ext>
          </c:extLst>
        </c:ser>
        <c:ser>
          <c:idx val="1"/>
          <c:order val="1"/>
          <c:tx>
            <c:strRef>
              <c:f>'Pots and traps over 12m'!$K$140</c:f>
              <c:strCache>
                <c:ptCount val="1"/>
                <c:pt idx="0">
                  <c:v>Operating costs</c:v>
                </c:pt>
              </c:strCache>
            </c:strRef>
          </c:tx>
          <c:spPr>
            <a:solidFill>
              <a:srgbClr val="E87308"/>
            </a:solidFill>
          </c:spPr>
          <c:invertIfNegative val="0"/>
          <c:cat>
            <c:strRef>
              <c:f>'Pots and traps over 12m'!$L$138:$N$138</c:f>
              <c:strCache>
                <c:ptCount val="3"/>
                <c:pt idx="0">
                  <c:v>Most
profitable
quartile</c:v>
                </c:pt>
                <c:pt idx="1">
                  <c:v>Middle
two quartiles</c:v>
                </c:pt>
                <c:pt idx="2">
                  <c:v>Least
profitable
quartile</c:v>
                </c:pt>
              </c:strCache>
            </c:strRef>
          </c:cat>
          <c:val>
            <c:numRef>
              <c:f>'Pots and traps over 12m'!$L$140:$N$140</c:f>
              <c:numCache>
                <c:formatCode>#,##0</c:formatCode>
                <c:ptCount val="3"/>
                <c:pt idx="0">
                  <c:v>871.82543750000002</c:v>
                </c:pt>
                <c:pt idx="1">
                  <c:v>393.267438089623</c:v>
                </c:pt>
                <c:pt idx="2">
                  <c:v>168.67453125</c:v>
                </c:pt>
              </c:numCache>
            </c:numRef>
          </c:val>
          <c:extLst>
            <c:ext xmlns:c16="http://schemas.microsoft.com/office/drawing/2014/chart" uri="{C3380CC4-5D6E-409C-BE32-E72D297353CC}">
              <c16:uniqueId val="{00000001-681E-470E-88AB-A7C5794003EE}"/>
            </c:ext>
          </c:extLst>
        </c:ser>
        <c:ser>
          <c:idx val="2"/>
          <c:order val="2"/>
          <c:tx>
            <c:strRef>
              <c:f>'Pots and traps over 12m'!$K$141</c:f>
              <c:strCache>
                <c:ptCount val="1"/>
                <c:pt idx="0">
                  <c:v>Operating profit</c:v>
                </c:pt>
              </c:strCache>
            </c:strRef>
          </c:tx>
          <c:spPr>
            <a:solidFill>
              <a:srgbClr val="51AA81"/>
            </a:solidFill>
          </c:spPr>
          <c:invertIfNegative val="0"/>
          <c:cat>
            <c:strRef>
              <c:f>'Pots and traps over 12m'!$L$138:$N$138</c:f>
              <c:strCache>
                <c:ptCount val="3"/>
                <c:pt idx="0">
                  <c:v>Most
profitable
quartile</c:v>
                </c:pt>
                <c:pt idx="1">
                  <c:v>Middle
two quartiles</c:v>
                </c:pt>
                <c:pt idx="2">
                  <c:v>Least
profitable
quartile</c:v>
                </c:pt>
              </c:strCache>
            </c:strRef>
          </c:cat>
          <c:val>
            <c:numRef>
              <c:f>'Pots and traps over 12m'!$L$141:$N$141</c:f>
              <c:numCache>
                <c:formatCode>#,##0</c:formatCode>
                <c:ptCount val="3"/>
                <c:pt idx="0">
                  <c:v>322.33931250000001</c:v>
                </c:pt>
                <c:pt idx="1">
                  <c:v>104.614342570755</c:v>
                </c:pt>
                <c:pt idx="2">
                  <c:v>13.32021875</c:v>
                </c:pt>
              </c:numCache>
            </c:numRef>
          </c:val>
          <c:extLst>
            <c:ext xmlns:c16="http://schemas.microsoft.com/office/drawing/2014/chart" uri="{C3380CC4-5D6E-409C-BE32-E72D297353CC}">
              <c16:uniqueId val="{00000002-681E-470E-88AB-A7C5794003EE}"/>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'Pots and traps over 12m'!$K$142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o250kW'!$A$48</c:f>
          <c:strCache>
            <c:ptCount val="1"/>
            <c:pt idx="0">
              <c:v>Landings per kW day at sea (kg)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F321-4E3C-AA37-D34AFA0FEB31}"/>
              </c:ext>
            </c:extLst>
          </c:dPt>
          <c:dPt>
            <c:idx val="10"/>
            <c:bubble3D val="0"/>
            <c:spPr>
              <a:ln w="57150">
                <a:solidFill>
                  <a:srgbClr val="2273B9"/>
                </a:solidFill>
                <a:prstDash val="sysDot"/>
              </a:ln>
            </c:spPr>
            <c:extLst>
              <c:ext xmlns:c16="http://schemas.microsoft.com/office/drawing/2014/chart" uri="{C3380CC4-5D6E-409C-BE32-E72D297353CC}">
                <c16:uniqueId val="{00000003-F321-4E3C-AA37-D34AFA0FEB31}"/>
              </c:ext>
            </c:extLst>
          </c:dPt>
          <c:cat>
            <c:numRef>
              <c:f>'South West beamers o250kW'!$D$2:$N$2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'South West beamers o250kW'!$D$21:$N$21</c:f>
              <c:numCache>
                <c:formatCode>#,##0.00</c:formatCode>
                <c:ptCount val="11"/>
                <c:pt idx="0">
                  <c:v>2.0418818543647177</c:v>
                </c:pt>
                <c:pt idx="1">
                  <c:v>2.284056788630092</c:v>
                </c:pt>
                <c:pt idx="2">
                  <c:v>2.176908811754287</c:v>
                </c:pt>
                <c:pt idx="3">
                  <c:v>2.0186501234681971</c:v>
                </c:pt>
                <c:pt idx="4">
                  <c:v>2.2926983898693432</c:v>
                </c:pt>
                <c:pt idx="5">
                  <c:v>2.1799462159080503</c:v>
                </c:pt>
                <c:pt idx="6">
                  <c:v>2.1028973079814604</c:v>
                </c:pt>
                <c:pt idx="7">
                  <c:v>1.9874593747907627</c:v>
                </c:pt>
                <c:pt idx="8">
                  <c:v>2.1992680264245439</c:v>
                </c:pt>
                <c:pt idx="9">
                  <c:v>2.109572295360203</c:v>
                </c:pt>
                <c:pt idx="10">
                  <c:v>2.0940831649821483</c:v>
                </c:pt>
              </c:numCache>
            </c:numRef>
          </c:val>
          <c:smooth val="0"/>
          <c:extLst>
            <c:ext xmlns:c16="http://schemas.microsoft.com/office/drawing/2014/chart" uri="{C3380CC4-5D6E-409C-BE32-E72D297353CC}">
              <c16:uniqueId val="{00000004-F321-4E3C-AA37-D34AFA0FEB31}"/>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o250kW'!$A$49</c:f>
          <c:strCache>
            <c:ptCount val="1"/>
            <c:pt idx="0">
              <c:v>Fishing income per kW day at sea (£)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AC6B-4D22-B402-0E297E9E4719}"/>
              </c:ext>
            </c:extLst>
          </c:dPt>
          <c:dPt>
            <c:idx val="10"/>
            <c:bubble3D val="0"/>
            <c:spPr>
              <a:ln w="57150">
                <a:solidFill>
                  <a:srgbClr val="648C2E"/>
                </a:solidFill>
                <a:prstDash val="sysDot"/>
              </a:ln>
            </c:spPr>
            <c:extLst>
              <c:ext xmlns:c16="http://schemas.microsoft.com/office/drawing/2014/chart" uri="{C3380CC4-5D6E-409C-BE32-E72D297353CC}">
                <c16:uniqueId val="{00000003-AC6B-4D22-B402-0E297E9E4719}"/>
              </c:ext>
            </c:extLst>
          </c:dPt>
          <c:cat>
            <c:numRef>
              <c:f>'South West beamers o250kW'!$D$2:$N$2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'South West beamers o250kW'!$D$22:$N$22</c:f>
              <c:numCache>
                <c:formatCode>#,##0.00</c:formatCode>
                <c:ptCount val="11"/>
                <c:pt idx="0">
                  <c:v>6.9499942592924802</c:v>
                </c:pt>
                <c:pt idx="1">
                  <c:v>6.50159269623067</c:v>
                </c:pt>
                <c:pt idx="2">
                  <c:v>6.1487001728653903</c:v>
                </c:pt>
                <c:pt idx="3">
                  <c:v>5.8329747184448397</c:v>
                </c:pt>
                <c:pt idx="4">
                  <c:v>6.2021969674893302</c:v>
                </c:pt>
                <c:pt idx="5">
                  <c:v>7.1672668875607997</c:v>
                </c:pt>
                <c:pt idx="6">
                  <c:v>7.6723068920991802</c:v>
                </c:pt>
                <c:pt idx="7">
                  <c:v>7.6839819699556804</c:v>
                </c:pt>
                <c:pt idx="8">
                  <c:v>7.9202971086386498</c:v>
                </c:pt>
                <c:pt idx="9">
                  <c:v>6.7970526752335099</c:v>
                </c:pt>
                <c:pt idx="10">
                  <c:v>7.8690935827088442</c:v>
                </c:pt>
              </c:numCache>
            </c:numRef>
          </c:val>
          <c:smooth val="0"/>
          <c:extLst>
            <c:ext xmlns:c16="http://schemas.microsoft.com/office/drawing/2014/chart" uri="{C3380CC4-5D6E-409C-BE32-E72D297353CC}">
              <c16:uniqueId val="{00000004-AC6B-4D22-B402-0E297E9E4719}"/>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o250kW'!$B$62</c:f>
          <c:strCache>
            <c:ptCount val="1"/>
            <c:pt idx="0">
              <c:v>Total cost per kW day at sea (£)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E9E8-4D69-8089-32C4CA60E56E}"/>
              </c:ext>
            </c:extLst>
          </c:dPt>
          <c:dPt>
            <c:idx val="10"/>
            <c:bubble3D val="0"/>
            <c:spPr>
              <a:ln w="57150">
                <a:solidFill>
                  <a:srgbClr val="087CBB"/>
                </a:solidFill>
                <a:prstDash val="sysDot"/>
              </a:ln>
            </c:spPr>
            <c:extLst>
              <c:ext xmlns:c16="http://schemas.microsoft.com/office/drawing/2014/chart" uri="{C3380CC4-5D6E-409C-BE32-E72D297353CC}">
                <c16:uniqueId val="{00000003-E9E8-4D69-8089-32C4CA60E56E}"/>
              </c:ext>
            </c:extLst>
          </c:dPt>
          <c:cat>
            <c:numRef>
              <c:f>'South West beamers o250kW'!$D$2:$N$2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'South West beamers o250kW'!$D$23:$N$23</c:f>
              <c:numCache>
                <c:formatCode>#,##0.00</c:formatCode>
                <c:ptCount val="11"/>
                <c:pt idx="0">
                  <c:v>6.2773868307940504</c:v>
                </c:pt>
                <c:pt idx="1">
                  <c:v>6.4673284829388598</c:v>
                </c:pt>
                <c:pt idx="2">
                  <c:v>6.06416556630304</c:v>
                </c:pt>
                <c:pt idx="3">
                  <c:v>5.8118683951429597</c:v>
                </c:pt>
                <c:pt idx="4">
                  <c:v>7.2037588555504897</c:v>
                </c:pt>
                <c:pt idx="5">
                  <c:v>5.9849137491154698</c:v>
                </c:pt>
                <c:pt idx="6">
                  <c:v>6.4224613211249499</c:v>
                </c:pt>
                <c:pt idx="7">
                  <c:v>6.82262302095591</c:v>
                </c:pt>
                <c:pt idx="8">
                  <c:v>7.2732043132931103</c:v>
                </c:pt>
                <c:pt idx="9">
                  <c:v>6.6788357152767803</c:v>
                </c:pt>
                <c:pt idx="10">
                  <c:v>7.6727160371711207</c:v>
                </c:pt>
              </c:numCache>
            </c:numRef>
          </c:val>
          <c:smooth val="0"/>
          <c:extLst>
            <c:ext xmlns:c16="http://schemas.microsoft.com/office/drawing/2014/chart" uri="{C3380CC4-5D6E-409C-BE32-E72D297353CC}">
              <c16:uniqueId val="{00000004-E9E8-4D69-8089-32C4CA60E56E}"/>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o250kW'!$K$48</c:f>
          <c:strCache>
            <c:ptCount val="1"/>
            <c:pt idx="0">
              <c:v>Operating profit per kW day at sea (£)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7276-4CB1-BC13-F0D6C1565767}"/>
              </c:ext>
            </c:extLst>
          </c:dPt>
          <c:dPt>
            <c:idx val="10"/>
            <c:bubble3D val="0"/>
            <c:spPr>
              <a:ln w="57150">
                <a:solidFill>
                  <a:schemeClr val="accent3"/>
                </a:solidFill>
                <a:prstDash val="sysDot"/>
              </a:ln>
            </c:spPr>
            <c:extLst>
              <c:ext xmlns:c16="http://schemas.microsoft.com/office/drawing/2014/chart" uri="{C3380CC4-5D6E-409C-BE32-E72D297353CC}">
                <c16:uniqueId val="{00000003-7276-4CB1-BC13-F0D6C1565767}"/>
              </c:ext>
            </c:extLst>
          </c:dPt>
          <c:cat>
            <c:numRef>
              <c:f>'South West beamers o250kW'!$D$2:$N$2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'South West beamers o250kW'!$D$24:$N$24</c:f>
              <c:numCache>
                <c:formatCode>#,##0.00</c:formatCode>
                <c:ptCount val="11"/>
                <c:pt idx="0">
                  <c:v>0.78833284473406595</c:v>
                </c:pt>
                <c:pt idx="1">
                  <c:v>0.25530619969567198</c:v>
                </c:pt>
                <c:pt idx="2">
                  <c:v>0.106095662043428</c:v>
                </c:pt>
                <c:pt idx="3">
                  <c:v>0.48988158116974601</c:v>
                </c:pt>
                <c:pt idx="4">
                  <c:v>0.58697337834908203</c:v>
                </c:pt>
                <c:pt idx="5">
                  <c:v>1.1823531384453301</c:v>
                </c:pt>
                <c:pt idx="6">
                  <c:v>1.26308686925293</c:v>
                </c:pt>
                <c:pt idx="7">
                  <c:v>0.86311779975788505</c:v>
                </c:pt>
                <c:pt idx="8">
                  <c:v>0.64712283659713898</c:v>
                </c:pt>
                <c:pt idx="9">
                  <c:v>0.12135771011916301</c:v>
                </c:pt>
                <c:pt idx="10">
                  <c:v>0.19637754553772307</c:v>
                </c:pt>
              </c:numCache>
            </c:numRef>
          </c:val>
          <c:smooth val="0"/>
          <c:extLst>
            <c:ext xmlns:c16="http://schemas.microsoft.com/office/drawing/2014/chart" uri="{C3380CC4-5D6E-409C-BE32-E72D297353CC}">
              <c16:uniqueId val="{00000004-7276-4CB1-BC13-F0D6C1565767}"/>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o250kW'!$A$50</c:f>
          <c:strCache>
            <c:ptCount val="1"/>
            <c:pt idx="0">
              <c:v>Average price per tonne landed (£)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EB69-478A-83F2-9D1E3A1A12BC}"/>
              </c:ext>
            </c:extLst>
          </c:dPt>
          <c:dPt>
            <c:idx val="10"/>
            <c:bubble3D val="0"/>
            <c:spPr>
              <a:ln w="57150">
                <a:solidFill>
                  <a:schemeClr val="accent4"/>
                </a:solidFill>
                <a:prstDash val="sysDot"/>
              </a:ln>
            </c:spPr>
            <c:extLst>
              <c:ext xmlns:c16="http://schemas.microsoft.com/office/drawing/2014/chart" uri="{C3380CC4-5D6E-409C-BE32-E72D297353CC}">
                <c16:uniqueId val="{00000003-EB69-478A-83F2-9D1E3A1A12BC}"/>
              </c:ext>
            </c:extLst>
          </c:dPt>
          <c:cat>
            <c:numRef>
              <c:f>'South West beamers o250kW'!$D$2:$M$2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o250kW'!$D$20:$N$20</c:f>
              <c:numCache>
                <c:formatCode>#,##0</c:formatCode>
                <c:ptCount val="11"/>
                <c:pt idx="0">
                  <c:v>3404</c:v>
                </c:pt>
                <c:pt idx="1">
                  <c:v>2847</c:v>
                </c:pt>
                <c:pt idx="2">
                  <c:v>2825</c:v>
                </c:pt>
                <c:pt idx="3">
                  <c:v>2890</c:v>
                </c:pt>
                <c:pt idx="4">
                  <c:v>2705</c:v>
                </c:pt>
                <c:pt idx="5">
                  <c:v>3288</c:v>
                </c:pt>
                <c:pt idx="6">
                  <c:v>3648</c:v>
                </c:pt>
                <c:pt idx="7">
                  <c:v>3866</c:v>
                </c:pt>
                <c:pt idx="8">
                  <c:v>3601</c:v>
                </c:pt>
                <c:pt idx="9">
                  <c:v>3222</c:v>
                </c:pt>
                <c:pt idx="10">
                  <c:v>3758</c:v>
                </c:pt>
              </c:numCache>
            </c:numRef>
          </c:val>
          <c:smooth val="0"/>
          <c:extLst>
            <c:ext xmlns:c16="http://schemas.microsoft.com/office/drawing/2014/chart" uri="{C3380CC4-5D6E-409C-BE32-E72D297353CC}">
              <c16:uniqueId val="{00000004-EB69-478A-83F2-9D1E3A1A12BC}"/>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o250kW'!$K$62</c:f>
          <c:strCache>
            <c:ptCount val="1"/>
            <c:pt idx="0">
              <c:v>Average annual operating profit per vessel (£'000)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2854-4A89-9830-BAD2FF17C057}"/>
              </c:ext>
            </c:extLst>
          </c:dPt>
          <c:dPt>
            <c:idx val="10"/>
            <c:bubble3D val="0"/>
            <c:spPr>
              <a:ln w="57150">
                <a:solidFill>
                  <a:schemeClr val="accent5"/>
                </a:solidFill>
                <a:prstDash val="sysDot"/>
              </a:ln>
            </c:spPr>
            <c:extLst>
              <c:ext xmlns:c16="http://schemas.microsoft.com/office/drawing/2014/chart" uri="{C3380CC4-5D6E-409C-BE32-E72D297353CC}">
                <c16:uniqueId val="{00000003-2854-4A89-9830-BAD2FF17C057}"/>
              </c:ext>
            </c:extLst>
          </c:dPt>
          <c:cat>
            <c:numRef>
              <c:f>'South West beamers o250kW'!$D$2:$M$2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o250kW'!$D$37:$N$37</c:f>
              <c:numCache>
                <c:formatCode>#,##0.0</c:formatCode>
                <c:ptCount val="11"/>
                <c:pt idx="0">
                  <c:v>107.6</c:v>
                </c:pt>
                <c:pt idx="1">
                  <c:v>34.1</c:v>
                </c:pt>
                <c:pt idx="2">
                  <c:v>14.2</c:v>
                </c:pt>
                <c:pt idx="3">
                  <c:v>65</c:v>
                </c:pt>
                <c:pt idx="4">
                  <c:v>71.599999999999994</c:v>
                </c:pt>
                <c:pt idx="5">
                  <c:v>153.4</c:v>
                </c:pt>
                <c:pt idx="6">
                  <c:v>178.9</c:v>
                </c:pt>
                <c:pt idx="7">
                  <c:v>115.6</c:v>
                </c:pt>
                <c:pt idx="8">
                  <c:v>82.2</c:v>
                </c:pt>
                <c:pt idx="9">
                  <c:v>16.100000000000001</c:v>
                </c:pt>
                <c:pt idx="10">
                  <c:v>26.900000000000002</c:v>
                </c:pt>
              </c:numCache>
            </c:numRef>
          </c:val>
          <c:smooth val="0"/>
          <c:extLst>
            <c:ext xmlns:c16="http://schemas.microsoft.com/office/drawing/2014/chart" uri="{C3380CC4-5D6E-409C-BE32-E72D297353CC}">
              <c16:uniqueId val="{00000004-2854-4A89-9830-BAD2FF17C057}"/>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o250kW'!$A$76</c:f>
          <c:strCache>
            <c:ptCount val="1"/>
            <c:pt idx="0">
              <c:v>Top 5 landed species by volume in 2020
South West beamers over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E87308"/>
              </a:solidFill>
              <a:ln>
                <a:solidFill>
                  <a:srgbClr val="FFFFFF"/>
                </a:solidFill>
              </a:ln>
            </c:spPr>
            <c:extLst>
              <c:ext xmlns:c16="http://schemas.microsoft.com/office/drawing/2014/chart" uri="{C3380CC4-5D6E-409C-BE32-E72D297353CC}">
                <c16:uniqueId val="{00000001-A7B6-47B8-BF62-F51D0BF3713E}"/>
              </c:ext>
            </c:extLst>
          </c:dPt>
          <c:dPt>
            <c:idx val="1"/>
            <c:bubble3D val="0"/>
            <c:spPr>
              <a:solidFill>
                <a:srgbClr val="648C2E"/>
              </a:solidFill>
              <a:ln>
                <a:solidFill>
                  <a:srgbClr val="FFFFFF"/>
                </a:solidFill>
              </a:ln>
            </c:spPr>
            <c:extLst>
              <c:ext xmlns:c16="http://schemas.microsoft.com/office/drawing/2014/chart" uri="{C3380CC4-5D6E-409C-BE32-E72D297353CC}">
                <c16:uniqueId val="{00000003-A7B6-47B8-BF62-F51D0BF3713E}"/>
              </c:ext>
            </c:extLst>
          </c:dPt>
          <c:dPt>
            <c:idx val="2"/>
            <c:bubble3D val="0"/>
            <c:spPr>
              <a:solidFill>
                <a:srgbClr val="2273B9"/>
              </a:solidFill>
              <a:ln>
                <a:solidFill>
                  <a:srgbClr val="FFFFFF"/>
                </a:solidFill>
              </a:ln>
            </c:spPr>
            <c:extLst>
              <c:ext xmlns:c16="http://schemas.microsoft.com/office/drawing/2014/chart" uri="{C3380CC4-5D6E-409C-BE32-E72D297353CC}">
                <c16:uniqueId val="{00000005-A7B6-47B8-BF62-F51D0BF3713E}"/>
              </c:ext>
            </c:extLst>
          </c:dPt>
          <c:dPt>
            <c:idx val="3"/>
            <c:bubble3D val="0"/>
            <c:spPr>
              <a:solidFill>
                <a:srgbClr val="E84A38"/>
              </a:solidFill>
              <a:ln>
                <a:solidFill>
                  <a:srgbClr val="FFFFFF"/>
                </a:solidFill>
              </a:ln>
            </c:spPr>
            <c:extLst>
              <c:ext xmlns:c16="http://schemas.microsoft.com/office/drawing/2014/chart" uri="{C3380CC4-5D6E-409C-BE32-E72D297353CC}">
                <c16:uniqueId val="{00000007-A7B6-47B8-BF62-F51D0BF3713E}"/>
              </c:ext>
            </c:extLst>
          </c:dPt>
          <c:dPt>
            <c:idx val="4"/>
            <c:bubble3D val="0"/>
            <c:spPr>
              <a:solidFill>
                <a:srgbClr val="0F9AA9"/>
              </a:solidFill>
              <a:ln>
                <a:solidFill>
                  <a:srgbClr val="FFFFFF"/>
                </a:solidFill>
              </a:ln>
            </c:spPr>
            <c:extLst>
              <c:ext xmlns:c16="http://schemas.microsoft.com/office/drawing/2014/chart" uri="{C3380CC4-5D6E-409C-BE32-E72D297353CC}">
                <c16:uniqueId val="{00000009-A7B6-47B8-BF62-F51D0BF3713E}"/>
              </c:ext>
            </c:extLst>
          </c:dPt>
          <c:dPt>
            <c:idx val="5"/>
            <c:bubble3D val="0"/>
            <c:spPr>
              <a:solidFill>
                <a:srgbClr val="55585A"/>
              </a:solidFill>
              <a:ln>
                <a:solidFill>
                  <a:srgbClr val="FFFFFF"/>
                </a:solidFill>
              </a:ln>
            </c:spPr>
            <c:extLst>
              <c:ext xmlns:c16="http://schemas.microsoft.com/office/drawing/2014/chart" uri="{C3380CC4-5D6E-409C-BE32-E72D297353CC}">
                <c16:uniqueId val="{0000000B-A7B6-47B8-BF62-F51D0BF3713E}"/>
              </c:ext>
            </c:extLst>
          </c:dPt>
          <c:cat>
            <c:strRef>
              <c:f>'South West beamers o250kW'!$B$77:$B$82</c:f>
              <c:strCache>
                <c:ptCount val="6"/>
                <c:pt idx="0">
                  <c:v>Cuttlefish - 26.9%</c:v>
                </c:pt>
                <c:pt idx="1">
                  <c:v>Anglerfish - 18.0%</c:v>
                </c:pt>
                <c:pt idx="2">
                  <c:v>Sole - 9.1%</c:v>
                </c:pt>
                <c:pt idx="3">
                  <c:v>Plaice - 7.7%</c:v>
                </c:pt>
                <c:pt idx="4">
                  <c:v>Gurnard - 5.4%</c:v>
                </c:pt>
                <c:pt idx="5">
                  <c:v>Others - 32.8%</c:v>
                </c:pt>
              </c:strCache>
            </c:strRef>
          </c:cat>
          <c:val>
            <c:numRef>
              <c:f>'South West beamers o250kW'!$C$77:$C$82</c:f>
              <c:numCache>
                <c:formatCode>0.0%</c:formatCode>
                <c:ptCount val="6"/>
                <c:pt idx="0">
                  <c:v>0.26934500029345604</c:v>
                </c:pt>
                <c:pt idx="1">
                  <c:v>0.17955191731396486</c:v>
                </c:pt>
                <c:pt idx="2">
                  <c:v>9.1336796163105777E-2</c:v>
                </c:pt>
                <c:pt idx="3">
                  <c:v>7.6837325400916159E-2</c:v>
                </c:pt>
                <c:pt idx="4">
                  <c:v>5.4483129473388764E-2</c:v>
                </c:pt>
                <c:pt idx="5">
                  <c:v>0.32844583135516847</c:v>
                </c:pt>
              </c:numCache>
            </c:numRef>
          </c:val>
          <c:extLst>
            <c:ext xmlns:c16="http://schemas.microsoft.com/office/drawing/2014/chart" uri="{C3380CC4-5D6E-409C-BE32-E72D297353CC}">
              <c16:uniqueId val="{0000000C-A7B6-47B8-BF62-F51D0BF3713E}"/>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o250kW'!$F$76</c:f>
          <c:strCache>
            <c:ptCount val="1"/>
            <c:pt idx="0">
              <c:v>Top 5 landed species by value in 2020
South West beamers over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E02D-4964-8BE3-BD5D98084CB0}"/>
              </c:ext>
            </c:extLst>
          </c:dPt>
          <c:dPt>
            <c:idx val="1"/>
            <c:bubble3D val="0"/>
            <c:spPr>
              <a:solidFill>
                <a:srgbClr val="E87308"/>
              </a:solidFill>
              <a:ln>
                <a:solidFill>
                  <a:srgbClr val="FFFFFF"/>
                </a:solidFill>
              </a:ln>
            </c:spPr>
            <c:extLst>
              <c:ext xmlns:c16="http://schemas.microsoft.com/office/drawing/2014/chart" uri="{C3380CC4-5D6E-409C-BE32-E72D297353CC}">
                <c16:uniqueId val="{00000003-E02D-4964-8BE3-BD5D98084CB0}"/>
              </c:ext>
            </c:extLst>
          </c:dPt>
          <c:dPt>
            <c:idx val="2"/>
            <c:bubble3D val="0"/>
            <c:spPr>
              <a:solidFill>
                <a:srgbClr val="648C2E"/>
              </a:solidFill>
              <a:ln>
                <a:solidFill>
                  <a:srgbClr val="FFFFFF"/>
                </a:solidFill>
              </a:ln>
            </c:spPr>
            <c:extLst>
              <c:ext xmlns:c16="http://schemas.microsoft.com/office/drawing/2014/chart" uri="{C3380CC4-5D6E-409C-BE32-E72D297353CC}">
                <c16:uniqueId val="{00000005-E02D-4964-8BE3-BD5D98084CB0}"/>
              </c:ext>
            </c:extLst>
          </c:dPt>
          <c:dPt>
            <c:idx val="3"/>
            <c:bubble3D val="0"/>
            <c:spPr>
              <a:solidFill>
                <a:srgbClr val="C1D119"/>
              </a:solidFill>
              <a:ln>
                <a:solidFill>
                  <a:srgbClr val="FFFFFF"/>
                </a:solidFill>
              </a:ln>
            </c:spPr>
            <c:extLst>
              <c:ext xmlns:c16="http://schemas.microsoft.com/office/drawing/2014/chart" uri="{C3380CC4-5D6E-409C-BE32-E72D297353CC}">
                <c16:uniqueId val="{00000007-E02D-4964-8BE3-BD5D98084CB0}"/>
              </c:ext>
            </c:extLst>
          </c:dPt>
          <c:dPt>
            <c:idx val="4"/>
            <c:bubble3D val="0"/>
            <c:spPr>
              <a:solidFill>
                <a:srgbClr val="E84A38"/>
              </a:solidFill>
              <a:ln>
                <a:solidFill>
                  <a:srgbClr val="FFFFFF"/>
                </a:solidFill>
              </a:ln>
            </c:spPr>
            <c:extLst>
              <c:ext xmlns:c16="http://schemas.microsoft.com/office/drawing/2014/chart" uri="{C3380CC4-5D6E-409C-BE32-E72D297353CC}">
                <c16:uniqueId val="{00000009-E02D-4964-8BE3-BD5D98084CB0}"/>
              </c:ext>
            </c:extLst>
          </c:dPt>
          <c:dPt>
            <c:idx val="5"/>
            <c:bubble3D val="0"/>
            <c:spPr>
              <a:solidFill>
                <a:srgbClr val="55585A"/>
              </a:solidFill>
              <a:ln>
                <a:solidFill>
                  <a:srgbClr val="FFFFFF"/>
                </a:solidFill>
              </a:ln>
            </c:spPr>
            <c:extLst>
              <c:ext xmlns:c16="http://schemas.microsoft.com/office/drawing/2014/chart" uri="{C3380CC4-5D6E-409C-BE32-E72D297353CC}">
                <c16:uniqueId val="{0000000B-E02D-4964-8BE3-BD5D98084CB0}"/>
              </c:ext>
            </c:extLst>
          </c:dPt>
          <c:cat>
            <c:strRef>
              <c:f>'South West beamers o250kW'!$G$77:$G$82</c:f>
              <c:strCache>
                <c:ptCount val="6"/>
                <c:pt idx="0">
                  <c:v>Sole - 31.8%</c:v>
                </c:pt>
                <c:pt idx="1">
                  <c:v>Cuttlefish - 17.9%</c:v>
                </c:pt>
                <c:pt idx="2">
                  <c:v>Anglerfish - 15.9%</c:v>
                </c:pt>
                <c:pt idx="3">
                  <c:v>Turbot - 6.6%</c:v>
                </c:pt>
                <c:pt idx="4">
                  <c:v>Plaice - 5.5%</c:v>
                </c:pt>
                <c:pt idx="5">
                  <c:v>Others - 22.4%</c:v>
                </c:pt>
              </c:strCache>
            </c:strRef>
          </c:cat>
          <c:val>
            <c:numRef>
              <c:f>'South West beamers o250kW'!$H$77:$H$82</c:f>
              <c:numCache>
                <c:formatCode>0.0%</c:formatCode>
                <c:ptCount val="6"/>
                <c:pt idx="0">
                  <c:v>0.31771057487990434</c:v>
                </c:pt>
                <c:pt idx="1">
                  <c:v>0.17928714856746952</c:v>
                </c:pt>
                <c:pt idx="2">
                  <c:v>0.15900784160280246</c:v>
                </c:pt>
                <c:pt idx="3">
                  <c:v>6.587670195042912E-2</c:v>
                </c:pt>
                <c:pt idx="4">
                  <c:v>5.4523338361020732E-2</c:v>
                </c:pt>
                <c:pt idx="5">
                  <c:v>0.22359439463837372</c:v>
                </c:pt>
              </c:numCache>
            </c:numRef>
          </c:val>
          <c:extLst>
            <c:ext xmlns:c16="http://schemas.microsoft.com/office/drawing/2014/chart" uri="{C3380CC4-5D6E-409C-BE32-E72D297353CC}">
              <c16:uniqueId val="{0000000C-E02D-4964-8BE3-BD5D98084CB0}"/>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o250kW'!$K$77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'South West beamers o250kW'!$C$92</c:f>
              <c:strCache>
                <c:ptCount val="1"/>
                <c:pt idx="0">
                  <c:v>Sole</c:v>
                </c:pt>
              </c:strCache>
            </c:strRef>
          </c:tx>
          <c:spPr>
            <a:solidFill>
              <a:srgbClr val="2273B9"/>
            </a:solidFill>
            <a:ln>
              <a:solidFill>
                <a:srgbClr val="FFFFFF"/>
              </a:solidFill>
            </a:ln>
          </c:spPr>
          <c:invertIfNegative val="0"/>
          <c:cat>
            <c:numRef>
              <c:f>'South West beamers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o250kW'!$D$92:$M$92</c:f>
              <c:numCache>
                <c:formatCode>0%</c:formatCode>
                <c:ptCount val="10"/>
                <c:pt idx="0">
                  <c:v>0.15845508092565253</c:v>
                </c:pt>
                <c:pt idx="1">
                  <c:v>0.17523785755694227</c:v>
                </c:pt>
                <c:pt idx="2">
                  <c:v>0.17149999564235588</c:v>
                </c:pt>
                <c:pt idx="3">
                  <c:v>0.1529604113862818</c:v>
                </c:pt>
                <c:pt idx="4">
                  <c:v>0.18959752305170621</c:v>
                </c:pt>
                <c:pt idx="5">
                  <c:v>0.16614743835157719</c:v>
                </c:pt>
                <c:pt idx="6">
                  <c:v>0.19937490722779741</c:v>
                </c:pt>
                <c:pt idx="7">
                  <c:v>0.27884074077238646</c:v>
                </c:pt>
                <c:pt idx="8">
                  <c:v>0.31771057487990434</c:v>
                </c:pt>
                <c:pt idx="9">
                  <c:v>0.34985303942830848</c:v>
                </c:pt>
              </c:numCache>
            </c:numRef>
          </c:val>
          <c:extLst>
            <c:ext xmlns:c16="http://schemas.microsoft.com/office/drawing/2014/chart" uri="{C3380CC4-5D6E-409C-BE32-E72D297353CC}">
              <c16:uniqueId val="{00000000-EBBD-432C-8AD6-C81843F6CEDE}"/>
            </c:ext>
          </c:extLst>
        </c:ser>
        <c:ser>
          <c:idx val="1"/>
          <c:order val="1"/>
          <c:tx>
            <c:strRef>
              <c:f>'South West beamers o250kW'!$C$93</c:f>
              <c:strCache>
                <c:ptCount val="1"/>
                <c:pt idx="0">
                  <c:v>Cuttlefish</c:v>
                </c:pt>
              </c:strCache>
            </c:strRef>
          </c:tx>
          <c:spPr>
            <a:solidFill>
              <a:srgbClr val="E87308"/>
            </a:solidFill>
            <a:ln>
              <a:solidFill>
                <a:srgbClr val="FFFFFF"/>
              </a:solidFill>
            </a:ln>
          </c:spPr>
          <c:invertIfNegative val="0"/>
          <c:cat>
            <c:numRef>
              <c:f>'South West beamers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o250kW'!$D$93:$M$93</c:f>
              <c:numCache>
                <c:formatCode>0%</c:formatCode>
                <c:ptCount val="10"/>
                <c:pt idx="0">
                  <c:v>0.2277232417206777</c:v>
                </c:pt>
                <c:pt idx="1">
                  <c:v>0.14044372285931914</c:v>
                </c:pt>
                <c:pt idx="2">
                  <c:v>0.12026512423791083</c:v>
                </c:pt>
                <c:pt idx="3">
                  <c:v>0.19761453663319356</c:v>
                </c:pt>
                <c:pt idx="4">
                  <c:v>0.20718827503181445</c:v>
                </c:pt>
                <c:pt idx="5">
                  <c:v>0.34453259591279434</c:v>
                </c:pt>
                <c:pt idx="6">
                  <c:v>0.30844676890742695</c:v>
                </c:pt>
                <c:pt idx="7">
                  <c:v>0.22047462320635197</c:v>
                </c:pt>
                <c:pt idx="8">
                  <c:v>0.17928714856746952</c:v>
                </c:pt>
                <c:pt idx="9">
                  <c:v>0.13910998791917209</c:v>
                </c:pt>
              </c:numCache>
            </c:numRef>
          </c:val>
          <c:extLst>
            <c:ext xmlns:c16="http://schemas.microsoft.com/office/drawing/2014/chart" uri="{C3380CC4-5D6E-409C-BE32-E72D297353CC}">
              <c16:uniqueId val="{00000001-EBBD-432C-8AD6-C81843F6CEDE}"/>
            </c:ext>
          </c:extLst>
        </c:ser>
        <c:ser>
          <c:idx val="2"/>
          <c:order val="2"/>
          <c:tx>
            <c:strRef>
              <c:f>'South West beamers o250kW'!$C$94</c:f>
              <c:strCache>
                <c:ptCount val="1"/>
                <c:pt idx="0">
                  <c:v>Anglerfish</c:v>
                </c:pt>
              </c:strCache>
            </c:strRef>
          </c:tx>
          <c:spPr>
            <a:solidFill>
              <a:srgbClr val="648C2E"/>
            </a:solidFill>
            <a:ln>
              <a:solidFill>
                <a:srgbClr val="FFFFFF"/>
              </a:solidFill>
            </a:ln>
          </c:spPr>
          <c:invertIfNegative val="0"/>
          <c:cat>
            <c:numRef>
              <c:f>'South West beamers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o250kW'!$D$94:$M$94</c:f>
              <c:numCache>
                <c:formatCode>0%</c:formatCode>
                <c:ptCount val="10"/>
                <c:pt idx="0">
                  <c:v>0.25375438361534997</c:v>
                </c:pt>
                <c:pt idx="1">
                  <c:v>0.28544618880128109</c:v>
                </c:pt>
                <c:pt idx="2">
                  <c:v>0.27769541338015363</c:v>
                </c:pt>
                <c:pt idx="3">
                  <c:v>0.2339463935669272</c:v>
                </c:pt>
                <c:pt idx="4">
                  <c:v>0.22867763511208491</c:v>
                </c:pt>
                <c:pt idx="5">
                  <c:v>0.14698067935723791</c:v>
                </c:pt>
                <c:pt idx="6">
                  <c:v>0.12296730930595905</c:v>
                </c:pt>
                <c:pt idx="7">
                  <c:v>0.13672487046849305</c:v>
                </c:pt>
                <c:pt idx="8">
                  <c:v>0.15900784160280246</c:v>
                </c:pt>
                <c:pt idx="9">
                  <c:v>0.14659467129912823</c:v>
                </c:pt>
              </c:numCache>
            </c:numRef>
          </c:val>
          <c:extLst>
            <c:ext xmlns:c16="http://schemas.microsoft.com/office/drawing/2014/chart" uri="{C3380CC4-5D6E-409C-BE32-E72D297353CC}">
              <c16:uniqueId val="{00000002-EBBD-432C-8AD6-C81843F6CEDE}"/>
            </c:ext>
          </c:extLst>
        </c:ser>
        <c:ser>
          <c:idx val="3"/>
          <c:order val="3"/>
          <c:tx>
            <c:strRef>
              <c:f>'South West beamers o250kW'!$C$95</c:f>
              <c:strCache>
                <c:ptCount val="1"/>
                <c:pt idx="0">
                  <c:v>Turbot</c:v>
                </c:pt>
              </c:strCache>
            </c:strRef>
          </c:tx>
          <c:spPr>
            <a:solidFill>
              <a:srgbClr val="C1D119"/>
            </a:solidFill>
            <a:ln>
              <a:solidFill>
                <a:srgbClr val="FFFFFF"/>
              </a:solidFill>
            </a:ln>
          </c:spPr>
          <c:invertIfNegative val="0"/>
          <c:cat>
            <c:numRef>
              <c:f>'South West beamers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o250kW'!$D$95:$M$95</c:f>
              <c:numCache>
                <c:formatCode>0%</c:formatCode>
                <c:ptCount val="10"/>
                <c:pt idx="4">
                  <c:v>4.652832410234798E-2</c:v>
                </c:pt>
                <c:pt idx="6">
                  <c:v>5.3408680769836292E-2</c:v>
                </c:pt>
                <c:pt idx="7">
                  <c:v>6.1038387538084819E-2</c:v>
                </c:pt>
                <c:pt idx="8">
                  <c:v>6.587670195042912E-2</c:v>
                </c:pt>
                <c:pt idx="9">
                  <c:v>6.6449041512432611E-2</c:v>
                </c:pt>
              </c:numCache>
            </c:numRef>
          </c:val>
          <c:extLst>
            <c:ext xmlns:c16="http://schemas.microsoft.com/office/drawing/2014/chart" uri="{C3380CC4-5D6E-409C-BE32-E72D297353CC}">
              <c16:uniqueId val="{00000003-EBBD-432C-8AD6-C81843F6CEDE}"/>
            </c:ext>
          </c:extLst>
        </c:ser>
        <c:ser>
          <c:idx val="4"/>
          <c:order val="4"/>
          <c:tx>
            <c:strRef>
              <c:f>'South West beamers o250kW'!$C$96</c:f>
              <c:strCache>
                <c:ptCount val="1"/>
                <c:pt idx="0">
                  <c:v>Plaice</c:v>
                </c:pt>
              </c:strCache>
            </c:strRef>
          </c:tx>
          <c:spPr>
            <a:solidFill>
              <a:srgbClr val="E84A38"/>
            </a:solidFill>
            <a:ln>
              <a:solidFill>
                <a:srgbClr val="FFFFFF"/>
              </a:solidFill>
            </a:ln>
          </c:spPr>
          <c:invertIfNegative val="0"/>
          <c:cat>
            <c:numRef>
              <c:f>'South West beamers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o250kW'!$D$96:$M$96</c:f>
              <c:numCache>
                <c:formatCode>0%</c:formatCode>
                <c:ptCount val="10"/>
                <c:pt idx="7">
                  <c:v>5.6490210031354529E-2</c:v>
                </c:pt>
                <c:pt idx="8">
                  <c:v>5.4523338361020732E-2</c:v>
                </c:pt>
                <c:pt idx="9">
                  <c:v>5.1295027075077632E-2</c:v>
                </c:pt>
              </c:numCache>
            </c:numRef>
          </c:val>
          <c:extLst>
            <c:ext xmlns:c16="http://schemas.microsoft.com/office/drawing/2014/chart" uri="{C3380CC4-5D6E-409C-BE32-E72D297353CC}">
              <c16:uniqueId val="{00000004-EBBD-432C-8AD6-C81843F6CEDE}"/>
            </c:ext>
          </c:extLst>
        </c:ser>
        <c:ser>
          <c:idx val="5"/>
          <c:order val="5"/>
          <c:tx>
            <c:strRef>
              <c:f>'South West beamers o250kW'!$C$97</c:f>
              <c:strCache>
                <c:ptCount val="1"/>
                <c:pt idx="0">
                  <c:v>Scallops</c:v>
                </c:pt>
              </c:strCache>
            </c:strRef>
          </c:tx>
          <c:spPr>
            <a:solidFill>
              <a:srgbClr val="0F9AA9"/>
            </a:solidFill>
            <a:ln>
              <a:solidFill>
                <a:srgbClr val="FFFFFF"/>
              </a:solidFill>
            </a:ln>
          </c:spPr>
          <c:invertIfNegative val="0"/>
          <c:cat>
            <c:numRef>
              <c:f>'South West beamers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o250kW'!$D$97:$M$97</c:f>
              <c:numCache>
                <c:formatCode>0%</c:formatCode>
                <c:ptCount val="10"/>
                <c:pt idx="0">
                  <c:v>4.5709799173624832E-2</c:v>
                </c:pt>
                <c:pt idx="3">
                  <c:v>6.4679750568691893E-2</c:v>
                </c:pt>
                <c:pt idx="5">
                  <c:v>6.003008109332942E-2</c:v>
                </c:pt>
                <c:pt idx="6">
                  <c:v>6.6029854225385556E-2</c:v>
                </c:pt>
              </c:numCache>
            </c:numRef>
          </c:val>
          <c:extLst>
            <c:ext xmlns:c16="http://schemas.microsoft.com/office/drawing/2014/chart" uri="{C3380CC4-5D6E-409C-BE32-E72D297353CC}">
              <c16:uniqueId val="{00000005-EBBD-432C-8AD6-C81843F6CEDE}"/>
            </c:ext>
          </c:extLst>
        </c:ser>
        <c:ser>
          <c:idx val="6"/>
          <c:order val="6"/>
          <c:tx>
            <c:strRef>
              <c:f>'South West beamers o250kW'!$C$98</c:f>
              <c:strCache>
                <c:ptCount val="1"/>
                <c:pt idx="0">
                  <c:v>Megrim</c:v>
                </c:pt>
              </c:strCache>
            </c:strRef>
          </c:tx>
          <c:spPr>
            <a:solidFill>
              <a:srgbClr val="FED825"/>
            </a:solidFill>
            <a:ln>
              <a:solidFill>
                <a:srgbClr val="FFFFFF"/>
              </a:solidFill>
            </a:ln>
          </c:spPr>
          <c:invertIfNegative val="0"/>
          <c:cat>
            <c:numRef>
              <c:f>'South West beamers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o250kW'!$D$98:$M$98</c:f>
              <c:numCache>
                <c:formatCode>0%</c:formatCode>
                <c:ptCount val="10"/>
                <c:pt idx="0">
                  <c:v>8.0665614706986744E-2</c:v>
                </c:pt>
                <c:pt idx="1">
                  <c:v>0.11600299775354173</c:v>
                </c:pt>
                <c:pt idx="2">
                  <c:v>0.12993787550520974</c:v>
                </c:pt>
                <c:pt idx="3">
                  <c:v>0.11720822020461284</c:v>
                </c:pt>
                <c:pt idx="4">
                  <c:v>9.0714107937631044E-2</c:v>
                </c:pt>
                <c:pt idx="5">
                  <c:v>5.8044314720721538E-2</c:v>
                </c:pt>
              </c:numCache>
            </c:numRef>
          </c:val>
          <c:extLst>
            <c:ext xmlns:c16="http://schemas.microsoft.com/office/drawing/2014/chart" uri="{C3380CC4-5D6E-409C-BE32-E72D297353CC}">
              <c16:uniqueId val="{00000006-EBBD-432C-8AD6-C81843F6CEDE}"/>
            </c:ext>
          </c:extLst>
        </c:ser>
        <c:ser>
          <c:idx val="7"/>
          <c:order val="7"/>
          <c:tx>
            <c:strRef>
              <c:f>'South West beamers o250kW'!$C$99</c:f>
              <c:strCache>
                <c:ptCount val="1"/>
                <c:pt idx="0">
                  <c:v>Lemon Sole</c:v>
                </c:pt>
              </c:strCache>
            </c:strRef>
          </c:tx>
          <c:spPr>
            <a:solidFill>
              <a:srgbClr val="707271"/>
            </a:solidFill>
            <a:ln>
              <a:solidFill>
                <a:srgbClr val="FFFFFF"/>
              </a:solidFill>
            </a:ln>
          </c:spPr>
          <c:invertIfNegative val="0"/>
          <c:cat>
            <c:numRef>
              <c:f>'South West beamers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o250kW'!$D$99:$M$99</c:f>
              <c:numCache>
                <c:formatCode>0%</c:formatCode>
                <c:ptCount val="10"/>
                <c:pt idx="1">
                  <c:v>4.4009534356624976E-2</c:v>
                </c:pt>
                <c:pt idx="2">
                  <c:v>5.1733637009427139E-2</c:v>
                </c:pt>
              </c:numCache>
            </c:numRef>
          </c:val>
          <c:extLst>
            <c:ext xmlns:c16="http://schemas.microsoft.com/office/drawing/2014/chart" uri="{C3380CC4-5D6E-409C-BE32-E72D297353CC}">
              <c16:uniqueId val="{00000007-EBBD-432C-8AD6-C81843F6CEDE}"/>
            </c:ext>
          </c:extLst>
        </c:ser>
        <c:ser>
          <c:idx val="8"/>
          <c:order val="8"/>
          <c:tx>
            <c:strRef>
              <c:f>'South West beamers o250kW'!$C$100</c:f>
              <c:strCache>
                <c:ptCount val="1"/>
                <c:pt idx="0">
                  <c:v>Others</c:v>
                </c:pt>
              </c:strCache>
            </c:strRef>
          </c:tx>
          <c:spPr>
            <a:solidFill>
              <a:srgbClr val="55585A"/>
            </a:solidFill>
            <a:ln>
              <a:solidFill>
                <a:srgbClr val="FFFFFF"/>
              </a:solidFill>
            </a:ln>
          </c:spPr>
          <c:invertIfNegative val="0"/>
          <c:cat>
            <c:numRef>
              <c:f>'South West beamers o250kW'!$D$91:$M$91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o250kW'!$D$100:$M$100</c:f>
              <c:numCache>
                <c:formatCode>0%</c:formatCode>
                <c:ptCount val="10"/>
                <c:pt idx="0">
                  <c:v>0.23369187985770823</c:v>
                </c:pt>
                <c:pt idx="1">
                  <c:v>0.23885969867229079</c:v>
                </c:pt>
                <c:pt idx="2">
                  <c:v>0.24886795422494276</c:v>
                </c:pt>
                <c:pt idx="3">
                  <c:v>0.23359068764029273</c:v>
                </c:pt>
                <c:pt idx="4">
                  <c:v>0.23729413476441538</c:v>
                </c:pt>
                <c:pt idx="5">
                  <c:v>0.2242648905643396</c:v>
                </c:pt>
                <c:pt idx="6">
                  <c:v>0.24977247956359475</c:v>
                </c:pt>
                <c:pt idx="7">
                  <c:v>0.24643116798332917</c:v>
                </c:pt>
                <c:pt idx="8">
                  <c:v>0.22359439463837386</c:v>
                </c:pt>
                <c:pt idx="9">
                  <c:v>0.24669823276588096</c:v>
                </c:pt>
              </c:numCache>
            </c:numRef>
          </c:val>
          <c:extLst>
            <c:ext xmlns:c16="http://schemas.microsoft.com/office/drawing/2014/chart" uri="{C3380CC4-5D6E-409C-BE32-E72D297353CC}">
              <c16:uniqueId val="{00000008-EBBD-432C-8AD6-C81843F6CEDE}"/>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u250kW'!$A$48</c:f>
          <c:strCache>
            <c:ptCount val="1"/>
            <c:pt idx="0">
              <c:v>Landings per kW day at sea (kg)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4E11-49E3-A678-390DF336C8D6}"/>
              </c:ext>
            </c:extLst>
          </c:dPt>
          <c:dPt>
            <c:idx val="10"/>
            <c:bubble3D val="0"/>
            <c:spPr>
              <a:ln w="57150">
                <a:solidFill>
                  <a:srgbClr val="2273B9"/>
                </a:solidFill>
                <a:prstDash val="sysDot"/>
              </a:ln>
            </c:spPr>
            <c:extLst>
              <c:ext xmlns:c16="http://schemas.microsoft.com/office/drawing/2014/chart" uri="{C3380CC4-5D6E-409C-BE32-E72D297353CC}">
                <c16:uniqueId val="{00000003-4E11-49E3-A678-390DF336C8D6}"/>
              </c:ext>
            </c:extLst>
          </c:dPt>
          <c:cat>
            <c:numRef>
              <c:f>'Area VIIa nephrops u250kW'!$D$2:$N$2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'Area VIIa nephrops u250kW'!$D$21:$N$21</c:f>
              <c:numCache>
                <c:formatCode>#,##0.00</c:formatCode>
                <c:ptCount val="11"/>
                <c:pt idx="0">
                  <c:v>3.3590217052065969</c:v>
                </c:pt>
                <c:pt idx="1">
                  <c:v>3.3961332581277488</c:v>
                </c:pt>
                <c:pt idx="2">
                  <c:v>3.173493963976195</c:v>
                </c:pt>
                <c:pt idx="3">
                  <c:v>2.7335049176467137</c:v>
                </c:pt>
                <c:pt idx="4">
                  <c:v>3.4210155616052056</c:v>
                </c:pt>
                <c:pt idx="5">
                  <c:v>3.3465052515072471</c:v>
                </c:pt>
                <c:pt idx="6">
                  <c:v>3.5067224258126615</c:v>
                </c:pt>
                <c:pt idx="7">
                  <c:v>3.0978682595323872</c:v>
                </c:pt>
                <c:pt idx="8">
                  <c:v>3.4496068397965258</c:v>
                </c:pt>
                <c:pt idx="9">
                  <c:v>3.866923438686745</c:v>
                </c:pt>
                <c:pt idx="10">
                  <c:v>3.693633957427207</c:v>
                </c:pt>
              </c:numCache>
            </c:numRef>
          </c:val>
          <c:smooth val="0"/>
          <c:extLst>
            <c:ext xmlns:c16="http://schemas.microsoft.com/office/drawing/2014/chart" uri="{C3380CC4-5D6E-409C-BE32-E72D297353CC}">
              <c16:uniqueId val="{00000004-4E11-49E3-A678-390DF336C8D6}"/>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'South West beamers o250kW'!$B$162</c:f>
              <c:strCache>
                <c:ptCount val="1"/>
                <c:pt idx="0">
                  <c:v>Cuttlefish</c:v>
                </c:pt>
              </c:strCache>
            </c:strRef>
          </c:tx>
          <c:spPr>
            <a:solidFill>
              <a:srgbClr val="E87308"/>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o250kW'!$C$162:$E$162</c:f>
              <c:numCache>
                <c:formatCode>0%</c:formatCode>
                <c:ptCount val="3"/>
                <c:pt idx="0">
                  <c:v>0.21849780942392796</c:v>
                </c:pt>
                <c:pt idx="1">
                  <c:v>0.33742736969007242</c:v>
                </c:pt>
                <c:pt idx="2">
                  <c:v>0.23177325192248815</c:v>
                </c:pt>
              </c:numCache>
            </c:numRef>
          </c:val>
          <c:extLst>
            <c:ext xmlns:c16="http://schemas.microsoft.com/office/drawing/2014/chart" uri="{C3380CC4-5D6E-409C-BE32-E72D297353CC}">
              <c16:uniqueId val="{00000000-5590-4B9F-B1DB-D90A37EAD001}"/>
            </c:ext>
          </c:extLst>
        </c:ser>
        <c:ser>
          <c:idx val="1"/>
          <c:order val="1"/>
          <c:tx>
            <c:strRef>
              <c:f>'South West beamers o250kW'!$B$163</c:f>
              <c:strCache>
                <c:ptCount val="1"/>
                <c:pt idx="0">
                  <c:v>Anglerfish</c:v>
                </c:pt>
              </c:strCache>
            </c:strRef>
          </c:tx>
          <c:spPr>
            <a:solidFill>
              <a:srgbClr val="648C2E"/>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o250kW'!$C$163:$E$163</c:f>
              <c:numCache>
                <c:formatCode>0%</c:formatCode>
                <c:ptCount val="3"/>
                <c:pt idx="0">
                  <c:v>0.18891926507570844</c:v>
                </c:pt>
                <c:pt idx="1">
                  <c:v>0.1983587918206367</c:v>
                </c:pt>
                <c:pt idx="2">
                  <c:v>0.14961519612709751</c:v>
                </c:pt>
              </c:numCache>
            </c:numRef>
          </c:val>
          <c:extLst>
            <c:ext xmlns:c16="http://schemas.microsoft.com/office/drawing/2014/chart" uri="{C3380CC4-5D6E-409C-BE32-E72D297353CC}">
              <c16:uniqueId val="{00000001-5590-4B9F-B1DB-D90A37EAD001}"/>
            </c:ext>
          </c:extLst>
        </c:ser>
        <c:ser>
          <c:idx val="2"/>
          <c:order val="2"/>
          <c:tx>
            <c:strRef>
              <c:f>'South West beamers o250kW'!$B$164</c:f>
              <c:strCache>
                <c:ptCount val="1"/>
                <c:pt idx="0">
                  <c:v>Sole</c:v>
                </c:pt>
              </c:strCache>
            </c:strRef>
          </c:tx>
          <c:spPr>
            <a:solidFill>
              <a:srgbClr val="2273B9"/>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o250kW'!$C$164:$E$164</c:f>
              <c:numCache>
                <c:formatCode>0%</c:formatCode>
                <c:ptCount val="3"/>
                <c:pt idx="0">
                  <c:v>0.12789390903538198</c:v>
                </c:pt>
                <c:pt idx="1">
                  <c:v>0.10028599247927784</c:v>
                </c:pt>
                <c:pt idx="2">
                  <c:v>0</c:v>
                </c:pt>
              </c:numCache>
            </c:numRef>
          </c:val>
          <c:extLst>
            <c:ext xmlns:c16="http://schemas.microsoft.com/office/drawing/2014/chart" uri="{C3380CC4-5D6E-409C-BE32-E72D297353CC}">
              <c16:uniqueId val="{00000002-5590-4B9F-B1DB-D90A37EAD001}"/>
            </c:ext>
          </c:extLst>
        </c:ser>
        <c:ser>
          <c:idx val="3"/>
          <c:order val="3"/>
          <c:tx>
            <c:strRef>
              <c:f>'South West beamers o250kW'!$B$165</c:f>
              <c:strCache>
                <c:ptCount val="1"/>
                <c:pt idx="0">
                  <c:v>Plaice</c:v>
                </c:pt>
              </c:strCache>
            </c:strRef>
          </c:tx>
          <c:spPr>
            <a:solidFill>
              <a:srgbClr val="E84A38"/>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o250kW'!$C$165:$E$165</c:f>
              <c:numCache>
                <c:formatCode>0%</c:formatCode>
                <c:ptCount val="3"/>
                <c:pt idx="0">
                  <c:v>7.5829039104497481E-2</c:v>
                </c:pt>
                <c:pt idx="1">
                  <c:v>9.5949049554692759E-2</c:v>
                </c:pt>
                <c:pt idx="2">
                  <c:v>4.8838105433246778E-2</c:v>
                </c:pt>
              </c:numCache>
            </c:numRef>
          </c:val>
          <c:extLst>
            <c:ext xmlns:c16="http://schemas.microsoft.com/office/drawing/2014/chart" uri="{C3380CC4-5D6E-409C-BE32-E72D297353CC}">
              <c16:uniqueId val="{00000003-5590-4B9F-B1DB-D90A37EAD001}"/>
            </c:ext>
          </c:extLst>
        </c:ser>
        <c:ser>
          <c:idx val="4"/>
          <c:order val="4"/>
          <c:tx>
            <c:strRef>
              <c:f>'South West beamers o250kW'!$B$166</c:f>
              <c:strCache>
                <c:ptCount val="1"/>
                <c:pt idx="0">
                  <c:v>Gurnard</c:v>
                </c:pt>
              </c:strCache>
            </c:strRef>
          </c:tx>
          <c:spPr>
            <a:solidFill>
              <a:srgbClr val="0F9AA9"/>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o250kW'!$C$166:$E$166</c:f>
              <c:numCache>
                <c:formatCode>0%</c:formatCode>
                <c:ptCount val="3"/>
                <c:pt idx="0">
                  <c:v>6.1126526678671668E-2</c:v>
                </c:pt>
                <c:pt idx="1">
                  <c:v>6.6164086578299516E-2</c:v>
                </c:pt>
                <c:pt idx="2">
                  <c:v>0</c:v>
                </c:pt>
              </c:numCache>
            </c:numRef>
          </c:val>
          <c:extLst>
            <c:ext xmlns:c16="http://schemas.microsoft.com/office/drawing/2014/chart" uri="{C3380CC4-5D6E-409C-BE32-E72D297353CC}">
              <c16:uniqueId val="{00000004-5590-4B9F-B1DB-D90A37EAD001}"/>
            </c:ext>
          </c:extLst>
        </c:ser>
        <c:ser>
          <c:idx val="5"/>
          <c:order val="5"/>
          <c:tx>
            <c:strRef>
              <c:f>'South West beamers o250kW'!$B$167</c:f>
              <c:strCache>
                <c:ptCount val="1"/>
                <c:pt idx="0">
                  <c:v>Megrim</c:v>
                </c:pt>
              </c:strCache>
            </c:strRef>
          </c:tx>
          <c:spPr>
            <a:solidFill>
              <a:srgbClr val="FED825"/>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o250kW'!$C$167:$E$167</c:f>
              <c:numCache>
                <c:formatCode>0%</c:formatCode>
                <c:ptCount val="3"/>
                <c:pt idx="0">
                  <c:v>0</c:v>
                </c:pt>
                <c:pt idx="1">
                  <c:v>0</c:v>
                </c:pt>
                <c:pt idx="2">
                  <c:v>5.7978796185511938E-2</c:v>
                </c:pt>
              </c:numCache>
            </c:numRef>
          </c:val>
          <c:extLst>
            <c:ext xmlns:c16="http://schemas.microsoft.com/office/drawing/2014/chart" uri="{C3380CC4-5D6E-409C-BE32-E72D297353CC}">
              <c16:uniqueId val="{00000005-5590-4B9F-B1DB-D90A37EAD001}"/>
            </c:ext>
          </c:extLst>
        </c:ser>
        <c:ser>
          <c:idx val="6"/>
          <c:order val="6"/>
          <c:tx>
            <c:strRef>
              <c:f>'South West beamers o250kW'!$B$168</c:f>
              <c:strCache>
                <c:ptCount val="1"/>
                <c:pt idx="0">
                  <c:v>Scallops</c:v>
                </c:pt>
              </c:strCache>
            </c:strRef>
          </c:tx>
          <c:spPr>
            <a:solidFill>
              <a:srgbClr val="707271"/>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o250kW'!$C$168:$E$168</c:f>
              <c:numCache>
                <c:formatCode>0%</c:formatCode>
                <c:ptCount val="3"/>
                <c:pt idx="0">
                  <c:v>0</c:v>
                </c:pt>
                <c:pt idx="1">
                  <c:v>0</c:v>
                </c:pt>
                <c:pt idx="2">
                  <c:v>5.2787624827222664E-2</c:v>
                </c:pt>
              </c:numCache>
            </c:numRef>
          </c:val>
          <c:extLst>
            <c:ext xmlns:c16="http://schemas.microsoft.com/office/drawing/2014/chart" uri="{C3380CC4-5D6E-409C-BE32-E72D297353CC}">
              <c16:uniqueId val="{00000006-5590-4B9F-B1DB-D90A37EAD001}"/>
            </c:ext>
          </c:extLst>
        </c:ser>
        <c:ser>
          <c:idx val="7"/>
          <c:order val="7"/>
          <c:tx>
            <c:strRef>
              <c:f>'South West beamers o250kW'!$B$169</c:f>
              <c:strCache>
                <c:ptCount val="1"/>
                <c:pt idx="0">
                  <c:v>Others</c:v>
                </c:pt>
              </c:strCache>
            </c:strRef>
          </c:tx>
          <c:spPr>
            <a:solidFill>
              <a:srgbClr val="55585A"/>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o250kW'!$C$169:$E$169</c:f>
              <c:numCache>
                <c:formatCode>0%</c:formatCode>
                <c:ptCount val="3"/>
                <c:pt idx="0">
                  <c:v>0.32773345068181248</c:v>
                </c:pt>
                <c:pt idx="1">
                  <c:v>0.20181470987702077</c:v>
                </c:pt>
                <c:pt idx="2">
                  <c:v>0.45900702550443295</c:v>
                </c:pt>
              </c:numCache>
            </c:numRef>
          </c:val>
          <c:extLst>
            <c:ext xmlns:c16="http://schemas.microsoft.com/office/drawing/2014/chart" uri="{C3380CC4-5D6E-409C-BE32-E72D297353CC}">
              <c16:uniqueId val="{00000007-5590-4B9F-B1DB-D90A37EAD001}"/>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'South West beamers o250kW'!$H$162</c:f>
              <c:strCache>
                <c:ptCount val="1"/>
                <c:pt idx="0">
                  <c:v>Sole</c:v>
                </c:pt>
              </c:strCache>
            </c:strRef>
          </c:tx>
          <c:spPr>
            <a:solidFill>
              <a:srgbClr val="2273B9"/>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o250kW'!$I$162:$K$162</c:f>
              <c:numCache>
                <c:formatCode>0%</c:formatCode>
                <c:ptCount val="3"/>
                <c:pt idx="0">
                  <c:v>0.3837019997525758</c:v>
                </c:pt>
                <c:pt idx="1">
                  <c:v>0.34144537927125557</c:v>
                </c:pt>
                <c:pt idx="2">
                  <c:v>0.11866401532035561</c:v>
                </c:pt>
              </c:numCache>
            </c:numRef>
          </c:val>
          <c:extLst>
            <c:ext xmlns:c16="http://schemas.microsoft.com/office/drawing/2014/chart" uri="{C3380CC4-5D6E-409C-BE32-E72D297353CC}">
              <c16:uniqueId val="{00000000-192F-4DFB-99A0-E9D3FE8613CD}"/>
            </c:ext>
          </c:extLst>
        </c:ser>
        <c:ser>
          <c:idx val="1"/>
          <c:order val="1"/>
          <c:tx>
            <c:strRef>
              <c:f>'South West beamers o250kW'!$H$163</c:f>
              <c:strCache>
                <c:ptCount val="1"/>
                <c:pt idx="0">
                  <c:v>Cuttlefish</c:v>
                </c:pt>
              </c:strCache>
            </c:strRef>
          </c:tx>
          <c:spPr>
            <a:solidFill>
              <a:srgbClr val="E87308"/>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o250kW'!$I$163:$K$163</c:f>
              <c:numCache>
                <c:formatCode>0%</c:formatCode>
                <c:ptCount val="3"/>
                <c:pt idx="0">
                  <c:v>0.13824725721908718</c:v>
                </c:pt>
                <c:pt idx="1">
                  <c:v>0.20437394001446896</c:v>
                </c:pt>
                <c:pt idx="2">
                  <c:v>0.15669890811299109</c:v>
                </c:pt>
              </c:numCache>
            </c:numRef>
          </c:val>
          <c:extLst>
            <c:ext xmlns:c16="http://schemas.microsoft.com/office/drawing/2014/chart" uri="{C3380CC4-5D6E-409C-BE32-E72D297353CC}">
              <c16:uniqueId val="{00000001-192F-4DFB-99A0-E9D3FE8613CD}"/>
            </c:ext>
          </c:extLst>
        </c:ser>
        <c:ser>
          <c:idx val="2"/>
          <c:order val="2"/>
          <c:tx>
            <c:strRef>
              <c:f>'South West beamers o250kW'!$H$164</c:f>
              <c:strCache>
                <c:ptCount val="1"/>
                <c:pt idx="0">
                  <c:v>Anglerfish</c:v>
                </c:pt>
              </c:strCache>
            </c:strRef>
          </c:tx>
          <c:spPr>
            <a:solidFill>
              <a:srgbClr val="648C2E"/>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o250kW'!$I$164:$K$164</c:f>
              <c:numCache>
                <c:formatCode>0%</c:formatCode>
                <c:ptCount val="3"/>
                <c:pt idx="0">
                  <c:v>0.15220345697728435</c:v>
                </c:pt>
                <c:pt idx="1">
                  <c:v>0.16532161456646841</c:v>
                </c:pt>
                <c:pt idx="2">
                  <c:v>0.1282119292774232</c:v>
                </c:pt>
              </c:numCache>
            </c:numRef>
          </c:val>
          <c:extLst>
            <c:ext xmlns:c16="http://schemas.microsoft.com/office/drawing/2014/chart" uri="{C3380CC4-5D6E-409C-BE32-E72D297353CC}">
              <c16:uniqueId val="{00000002-192F-4DFB-99A0-E9D3FE8613CD}"/>
            </c:ext>
          </c:extLst>
        </c:ser>
        <c:ser>
          <c:idx val="3"/>
          <c:order val="3"/>
          <c:tx>
            <c:strRef>
              <c:f>'South West beamers o250kW'!$H$165</c:f>
              <c:strCache>
                <c:ptCount val="1"/>
                <c:pt idx="0">
                  <c:v>Turbot</c:v>
                </c:pt>
              </c:strCache>
            </c:strRef>
          </c:tx>
          <c:spPr>
            <a:solidFill>
              <a:srgbClr val="C1D119"/>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o250kW'!$I$165:$K$165</c:f>
              <c:numCache>
                <c:formatCode>0%</c:formatCode>
                <c:ptCount val="3"/>
                <c:pt idx="0">
                  <c:v>5.8583142265712415E-2</c:v>
                </c:pt>
                <c:pt idx="1">
                  <c:v>7.7768909870715747E-2</c:v>
                </c:pt>
                <c:pt idx="2">
                  <c:v>4.0932603396816904E-2</c:v>
                </c:pt>
              </c:numCache>
            </c:numRef>
          </c:val>
          <c:extLst>
            <c:ext xmlns:c16="http://schemas.microsoft.com/office/drawing/2014/chart" uri="{C3380CC4-5D6E-409C-BE32-E72D297353CC}">
              <c16:uniqueId val="{00000003-192F-4DFB-99A0-E9D3FE8613CD}"/>
            </c:ext>
          </c:extLst>
        </c:ser>
        <c:ser>
          <c:idx val="4"/>
          <c:order val="4"/>
          <c:tx>
            <c:strRef>
              <c:f>'South West beamers o250kW'!$H$166</c:f>
              <c:strCache>
                <c:ptCount val="1"/>
                <c:pt idx="0">
                  <c:v>Plaice</c:v>
                </c:pt>
              </c:strCache>
            </c:strRef>
          </c:tx>
          <c:spPr>
            <a:solidFill>
              <a:srgbClr val="E84A38"/>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o250kW'!$I$166:$K$166</c:f>
              <c:numCache>
                <c:formatCode>0%</c:formatCode>
                <c:ptCount val="3"/>
                <c:pt idx="0">
                  <c:v>0</c:v>
                </c:pt>
                <c:pt idx="1">
                  <c:v>6.4472016409649668E-2</c:v>
                </c:pt>
                <c:pt idx="2">
                  <c:v>0</c:v>
                </c:pt>
              </c:numCache>
            </c:numRef>
          </c:val>
          <c:extLst>
            <c:ext xmlns:c16="http://schemas.microsoft.com/office/drawing/2014/chart" uri="{C3380CC4-5D6E-409C-BE32-E72D297353CC}">
              <c16:uniqueId val="{00000004-192F-4DFB-99A0-E9D3FE8613CD}"/>
            </c:ext>
          </c:extLst>
        </c:ser>
        <c:ser>
          <c:idx val="5"/>
          <c:order val="5"/>
          <c:tx>
            <c:strRef>
              <c:f>'South West beamers o250kW'!$H$167</c:f>
              <c:strCache>
                <c:ptCount val="1"/>
                <c:pt idx="0">
                  <c:v>Megrim</c:v>
                </c:pt>
              </c:strCache>
            </c:strRef>
          </c:tx>
          <c:spPr>
            <a:solidFill>
              <a:srgbClr val="FED825"/>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o250kW'!$I$167:$K$167</c:f>
              <c:numCache>
                <c:formatCode>0%</c:formatCode>
                <c:ptCount val="3"/>
                <c:pt idx="0">
                  <c:v>0</c:v>
                </c:pt>
                <c:pt idx="1">
                  <c:v>0</c:v>
                </c:pt>
                <c:pt idx="2">
                  <c:v>4.3919628735660049E-2</c:v>
                </c:pt>
              </c:numCache>
            </c:numRef>
          </c:val>
          <c:extLst>
            <c:ext xmlns:c16="http://schemas.microsoft.com/office/drawing/2014/chart" uri="{C3380CC4-5D6E-409C-BE32-E72D297353CC}">
              <c16:uniqueId val="{00000005-192F-4DFB-99A0-E9D3FE8613CD}"/>
            </c:ext>
          </c:extLst>
        </c:ser>
        <c:ser>
          <c:idx val="6"/>
          <c:order val="6"/>
          <c:tx>
            <c:strRef>
              <c:f>'South West beamers o250kW'!$H$168</c:f>
              <c:strCache>
                <c:ptCount val="1"/>
                <c:pt idx="0">
                  <c:v>Brill</c:v>
                </c:pt>
              </c:strCache>
            </c:strRef>
          </c:tx>
          <c:spPr>
            <a:solidFill>
              <a:srgbClr val="51AA81"/>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o250kW'!$I$168:$K$168</c:f>
              <c:numCache>
                <c:formatCode>0%</c:formatCode>
                <c:ptCount val="3"/>
                <c:pt idx="0">
                  <c:v>5.16276101015554E-2</c:v>
                </c:pt>
                <c:pt idx="1">
                  <c:v>0</c:v>
                </c:pt>
                <c:pt idx="2">
                  <c:v>0</c:v>
                </c:pt>
              </c:numCache>
            </c:numRef>
          </c:val>
          <c:extLst>
            <c:ext xmlns:c16="http://schemas.microsoft.com/office/drawing/2014/chart" uri="{C3380CC4-5D6E-409C-BE32-E72D297353CC}">
              <c16:uniqueId val="{00000006-192F-4DFB-99A0-E9D3FE8613CD}"/>
            </c:ext>
          </c:extLst>
        </c:ser>
        <c:ser>
          <c:idx val="7"/>
          <c:order val="7"/>
          <c:tx>
            <c:strRef>
              <c:f>'South West beamers o250kW'!$H$169</c:f>
              <c:strCache>
                <c:ptCount val="1"/>
                <c:pt idx="0">
                  <c:v>Others</c:v>
                </c:pt>
              </c:strCache>
            </c:strRef>
          </c:tx>
          <c:spPr>
            <a:solidFill>
              <a:srgbClr val="55585A"/>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o250kW'!$I$169:$K$169</c:f>
              <c:numCache>
                <c:formatCode>0%</c:formatCode>
                <c:ptCount val="3"/>
                <c:pt idx="0">
                  <c:v>0.21563653368378499</c:v>
                </c:pt>
                <c:pt idx="1">
                  <c:v>0.14661813986744154</c:v>
                </c:pt>
                <c:pt idx="2">
                  <c:v>0.51157291515675318</c:v>
                </c:pt>
              </c:numCache>
            </c:numRef>
          </c:val>
          <c:extLst>
            <c:ext xmlns:c16="http://schemas.microsoft.com/office/drawing/2014/chart" uri="{C3380CC4-5D6E-409C-BE32-E72D297353CC}">
              <c16:uniqueId val="{00000007-192F-4DFB-99A0-E9D3FE8613CD}"/>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'South West beamers o250kW'!$K$139</c:f>
              <c:strCache>
                <c:ptCount val="1"/>
                <c:pt idx="0">
                  <c:v>Total income</c:v>
                </c:pt>
              </c:strCache>
            </c:strRef>
          </c:tx>
          <c:spPr>
            <a:solidFill>
              <a:srgbClr val="087CBB"/>
            </a:solidFill>
            <a:ln>
              <a:solidFill>
                <a:schemeClr val="accent1"/>
              </a:solidFill>
            </a:ln>
          </c:spPr>
          <c:invertIfNegative val="0"/>
          <c:cat>
            <c:strRef>
              <c:f>'South West beamers o250kW'!$L$138:$N$138</c:f>
              <c:strCache>
                <c:ptCount val="3"/>
                <c:pt idx="0">
                  <c:v>Most
profitable
quartile</c:v>
                </c:pt>
                <c:pt idx="1">
                  <c:v>Middle
two quartiles</c:v>
                </c:pt>
                <c:pt idx="2">
                  <c:v>Least
profitable
quartile</c:v>
                </c:pt>
              </c:strCache>
            </c:strRef>
          </c:cat>
          <c:val>
            <c:numRef>
              <c:f>'South West beamers o250kW'!$L$139:$N$139</c:f>
              <c:numCache>
                <c:formatCode>#,##0</c:formatCode>
                <c:ptCount val="3"/>
                <c:pt idx="0">
                  <c:v>1100.9259999999999</c:v>
                </c:pt>
                <c:pt idx="1">
                  <c:v>1093.3087499999999</c:v>
                </c:pt>
                <c:pt idx="2">
                  <c:v>760.93237499999998</c:v>
                </c:pt>
              </c:numCache>
            </c:numRef>
          </c:val>
          <c:extLst>
            <c:ext xmlns:c16="http://schemas.microsoft.com/office/drawing/2014/chart" uri="{C3380CC4-5D6E-409C-BE32-E72D297353CC}">
              <c16:uniqueId val="{00000000-65F0-4787-9D19-E52EDA793F24}"/>
            </c:ext>
          </c:extLst>
        </c:ser>
        <c:ser>
          <c:idx val="1"/>
          <c:order val="1"/>
          <c:tx>
            <c:strRef>
              <c:f>'South West beamers o250kW'!$K$140</c:f>
              <c:strCache>
                <c:ptCount val="1"/>
                <c:pt idx="0">
                  <c:v>Operating costs</c:v>
                </c:pt>
              </c:strCache>
            </c:strRef>
          </c:tx>
          <c:spPr>
            <a:solidFill>
              <a:srgbClr val="E87308"/>
            </a:solidFill>
          </c:spPr>
          <c:invertIfNegative val="0"/>
          <c:cat>
            <c:strRef>
              <c:f>'South West beamers o250kW'!$L$138:$N$138</c:f>
              <c:strCache>
                <c:ptCount val="3"/>
                <c:pt idx="0">
                  <c:v>Most
profitable
quartile</c:v>
                </c:pt>
                <c:pt idx="1">
                  <c:v>Middle
two quartiles</c:v>
                </c:pt>
                <c:pt idx="2">
                  <c:v>Least
profitable
quartile</c:v>
                </c:pt>
              </c:strCache>
            </c:strRef>
          </c:cat>
          <c:val>
            <c:numRef>
              <c:f>'South West beamers o250kW'!$L$140:$N$140</c:f>
              <c:numCache>
                <c:formatCode>#,##0</c:formatCode>
                <c:ptCount val="3"/>
                <c:pt idx="0">
                  <c:v>933.60125000000005</c:v>
                </c:pt>
                <c:pt idx="1">
                  <c:v>1000.3571875</c:v>
                </c:pt>
                <c:pt idx="2">
                  <c:v>782.34799999999996</c:v>
                </c:pt>
              </c:numCache>
            </c:numRef>
          </c:val>
          <c:extLst>
            <c:ext xmlns:c16="http://schemas.microsoft.com/office/drawing/2014/chart" uri="{C3380CC4-5D6E-409C-BE32-E72D297353CC}">
              <c16:uniqueId val="{00000001-65F0-4787-9D19-E52EDA793F24}"/>
            </c:ext>
          </c:extLst>
        </c:ser>
        <c:ser>
          <c:idx val="2"/>
          <c:order val="2"/>
          <c:tx>
            <c:strRef>
              <c:f>'South West beamers o250kW'!$K$141</c:f>
              <c:strCache>
                <c:ptCount val="1"/>
                <c:pt idx="0">
                  <c:v>Operating profit</c:v>
                </c:pt>
              </c:strCache>
            </c:strRef>
          </c:tx>
          <c:spPr>
            <a:solidFill>
              <a:srgbClr val="51AA81"/>
            </a:solidFill>
          </c:spPr>
          <c:invertIfNegative val="0"/>
          <c:cat>
            <c:strRef>
              <c:f>'South West beamers o250kW'!$L$138:$N$138</c:f>
              <c:strCache>
                <c:ptCount val="3"/>
                <c:pt idx="0">
                  <c:v>Most
profitable
quartile</c:v>
                </c:pt>
                <c:pt idx="1">
                  <c:v>Middle
two quartiles</c:v>
                </c:pt>
                <c:pt idx="2">
                  <c:v>Least
profitable
quartile</c:v>
                </c:pt>
              </c:strCache>
            </c:strRef>
          </c:cat>
          <c:val>
            <c:numRef>
              <c:f>'South West beamers o250kW'!$L$141:$N$141</c:f>
              <c:numCache>
                <c:formatCode>#,##0</c:formatCode>
                <c:ptCount val="3"/>
                <c:pt idx="0">
                  <c:v>167.32474999999999</c:v>
                </c:pt>
                <c:pt idx="1">
                  <c:v>92.951562499999994</c:v>
                </c:pt>
                <c:pt idx="2">
                  <c:v>-21.415624999999999</c:v>
                </c:pt>
              </c:numCache>
            </c:numRef>
          </c:val>
          <c:extLst>
            <c:ext xmlns:c16="http://schemas.microsoft.com/office/drawing/2014/chart" uri="{C3380CC4-5D6E-409C-BE32-E72D297353CC}">
              <c16:uniqueId val="{00000002-65F0-4787-9D19-E52EDA793F24}"/>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'South West beamers o250kW'!$K$142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u250kW'!$A$48</c:f>
          <c:strCache>
            <c:ptCount val="1"/>
            <c:pt idx="0">
              <c:v>Landings per kW day at sea (kg)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AC6C-43F9-8D73-60C241D55744}"/>
              </c:ext>
            </c:extLst>
          </c:dPt>
          <c:dPt>
            <c:idx val="10"/>
            <c:bubble3D val="0"/>
            <c:spPr>
              <a:ln w="57150">
                <a:solidFill>
                  <a:srgbClr val="2273B9"/>
                </a:solidFill>
                <a:prstDash val="sysDot"/>
              </a:ln>
            </c:spPr>
            <c:extLst>
              <c:ext xmlns:c16="http://schemas.microsoft.com/office/drawing/2014/chart" uri="{C3380CC4-5D6E-409C-BE32-E72D297353CC}">
                <c16:uniqueId val="{00000003-AC6C-43F9-8D73-60C241D55744}"/>
              </c:ext>
            </c:extLst>
          </c:dPt>
          <c:cat>
            <c:numRef>
              <c:f>'South West beamers u250kW'!$D$2:$N$2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'South West beamers u250kW'!$D$21:$N$21</c:f>
              <c:numCache>
                <c:formatCode>#,##0.00</c:formatCode>
                <c:ptCount val="11"/>
                <c:pt idx="0">
                  <c:v>3.8085538478773047</c:v>
                </c:pt>
                <c:pt idx="1">
                  <c:v>4.2919013629767271</c:v>
                </c:pt>
                <c:pt idx="2">
                  <c:v>4.3468476751187071</c:v>
                </c:pt>
                <c:pt idx="3">
                  <c:v>4.2099381255955901</c:v>
                </c:pt>
                <c:pt idx="4">
                  <c:v>4.4918609369670488</c:v>
                </c:pt>
                <c:pt idx="5">
                  <c:v>4.0842536957200126</c:v>
                </c:pt>
                <c:pt idx="6">
                  <c:v>4.1454052787084903</c:v>
                </c:pt>
                <c:pt idx="7">
                  <c:v>3.7922992737046153</c:v>
                </c:pt>
                <c:pt idx="8">
                  <c:v>4.2545362521853063</c:v>
                </c:pt>
                <c:pt idx="9">
                  <c:v>3.8762114749103653</c:v>
                </c:pt>
                <c:pt idx="10">
                  <c:v>3.8162502326360261</c:v>
                </c:pt>
              </c:numCache>
            </c:numRef>
          </c:val>
          <c:smooth val="0"/>
          <c:extLst>
            <c:ext xmlns:c16="http://schemas.microsoft.com/office/drawing/2014/chart" uri="{C3380CC4-5D6E-409C-BE32-E72D297353CC}">
              <c16:uniqueId val="{00000004-AC6C-43F9-8D73-60C241D55744}"/>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u250kW'!$A$49</c:f>
          <c:strCache>
            <c:ptCount val="1"/>
            <c:pt idx="0">
              <c:v>Fishing income per kW day at sea (£)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1EA6-46A7-A707-A0F958C51695}"/>
              </c:ext>
            </c:extLst>
          </c:dPt>
          <c:dPt>
            <c:idx val="10"/>
            <c:bubble3D val="0"/>
            <c:spPr>
              <a:ln w="57150">
                <a:solidFill>
                  <a:srgbClr val="648C2E"/>
                </a:solidFill>
                <a:prstDash val="sysDot"/>
              </a:ln>
            </c:spPr>
            <c:extLst>
              <c:ext xmlns:c16="http://schemas.microsoft.com/office/drawing/2014/chart" uri="{C3380CC4-5D6E-409C-BE32-E72D297353CC}">
                <c16:uniqueId val="{00000003-1EA6-46A7-A707-A0F958C51695}"/>
              </c:ext>
            </c:extLst>
          </c:dPt>
          <c:cat>
            <c:numRef>
              <c:f>'South West beamers u250kW'!$D$2:$N$2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'South West beamers u250kW'!$D$22:$N$22</c:f>
              <c:numCache>
                <c:formatCode>#,##0.00</c:formatCode>
                <c:ptCount val="11"/>
                <c:pt idx="0">
                  <c:v>14.365222374088701</c:v>
                </c:pt>
                <c:pt idx="1">
                  <c:v>13.0565080366234</c:v>
                </c:pt>
                <c:pt idx="2">
                  <c:v>12.679688383371699</c:v>
                </c:pt>
                <c:pt idx="3">
                  <c:v>12.711792565513001</c:v>
                </c:pt>
                <c:pt idx="4">
                  <c:v>12.554270150591201</c:v>
                </c:pt>
                <c:pt idx="5">
                  <c:v>14.1964027442925</c:v>
                </c:pt>
                <c:pt idx="6">
                  <c:v>16.304953682678899</c:v>
                </c:pt>
                <c:pt idx="7">
                  <c:v>14.7428101192979</c:v>
                </c:pt>
                <c:pt idx="8">
                  <c:v>15.0690359963203</c:v>
                </c:pt>
                <c:pt idx="9">
                  <c:v>12.6779679715175</c:v>
                </c:pt>
                <c:pt idx="10">
                  <c:v>14.192110561074573</c:v>
                </c:pt>
              </c:numCache>
            </c:numRef>
          </c:val>
          <c:smooth val="0"/>
          <c:extLst>
            <c:ext xmlns:c16="http://schemas.microsoft.com/office/drawing/2014/chart" uri="{C3380CC4-5D6E-409C-BE32-E72D297353CC}">
              <c16:uniqueId val="{00000004-1EA6-46A7-A707-A0F958C51695}"/>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u250kW'!$B$62</c:f>
          <c:strCache>
            <c:ptCount val="1"/>
            <c:pt idx="0">
              <c:v>Total cost per kW day at sea (£)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F000-40BD-9FF6-8E91F0D5D144}"/>
              </c:ext>
            </c:extLst>
          </c:dPt>
          <c:dPt>
            <c:idx val="10"/>
            <c:bubble3D val="0"/>
            <c:spPr>
              <a:ln w="57150">
                <a:solidFill>
                  <a:srgbClr val="087CBB"/>
                </a:solidFill>
                <a:prstDash val="sysDot"/>
              </a:ln>
            </c:spPr>
            <c:extLst>
              <c:ext xmlns:c16="http://schemas.microsoft.com/office/drawing/2014/chart" uri="{C3380CC4-5D6E-409C-BE32-E72D297353CC}">
                <c16:uniqueId val="{00000003-F000-40BD-9FF6-8E91F0D5D144}"/>
              </c:ext>
            </c:extLst>
          </c:dPt>
          <c:cat>
            <c:numRef>
              <c:f>'South West beamers u250kW'!$D$2:$N$2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'South West beamers u250kW'!$D$23:$N$23</c:f>
              <c:numCache>
                <c:formatCode>#,##0.00</c:formatCode>
                <c:ptCount val="11"/>
                <c:pt idx="0">
                  <c:v>13.8185631447154</c:v>
                </c:pt>
                <c:pt idx="1">
                  <c:v>11.744411158517</c:v>
                </c:pt>
                <c:pt idx="2">
                  <c:v>11.9400125432031</c:v>
                </c:pt>
                <c:pt idx="3">
                  <c:v>12.4521960643631</c:v>
                </c:pt>
                <c:pt idx="4">
                  <c:v>11.481697161148499</c:v>
                </c:pt>
                <c:pt idx="5">
                  <c:v>10.779382824807699</c:v>
                </c:pt>
                <c:pt idx="6">
                  <c:v>12.5411265142679</c:v>
                </c:pt>
                <c:pt idx="7">
                  <c:v>12.6480056179432</c:v>
                </c:pt>
                <c:pt idx="8">
                  <c:v>11.5657672614283</c:v>
                </c:pt>
                <c:pt idx="9">
                  <c:v>10.344294568374799</c:v>
                </c:pt>
                <c:pt idx="10">
                  <c:v>11.580469930990517</c:v>
                </c:pt>
              </c:numCache>
            </c:numRef>
          </c:val>
          <c:smooth val="0"/>
          <c:extLst>
            <c:ext xmlns:c16="http://schemas.microsoft.com/office/drawing/2014/chart" uri="{C3380CC4-5D6E-409C-BE32-E72D297353CC}">
              <c16:uniqueId val="{00000004-F000-40BD-9FF6-8E91F0D5D144}"/>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u250kW'!$K$48</c:f>
          <c:strCache>
            <c:ptCount val="1"/>
            <c:pt idx="0">
              <c:v>Operating profit per kW day at sea (£)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DD2D-4637-B91E-779767697CB0}"/>
              </c:ext>
            </c:extLst>
          </c:dPt>
          <c:dPt>
            <c:idx val="10"/>
            <c:bubble3D val="0"/>
            <c:spPr>
              <a:ln w="57150">
                <a:solidFill>
                  <a:schemeClr val="accent3"/>
                </a:solidFill>
                <a:prstDash val="sysDot"/>
              </a:ln>
            </c:spPr>
            <c:extLst>
              <c:ext xmlns:c16="http://schemas.microsoft.com/office/drawing/2014/chart" uri="{C3380CC4-5D6E-409C-BE32-E72D297353CC}">
                <c16:uniqueId val="{00000003-DD2D-4637-B91E-779767697CB0}"/>
              </c:ext>
            </c:extLst>
          </c:dPt>
          <c:cat>
            <c:numRef>
              <c:f>'South West beamers u250kW'!$D$2:$N$2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'South West beamers u250kW'!$D$24:$N$24</c:f>
              <c:numCache>
                <c:formatCode>#,##0.00</c:formatCode>
                <c:ptCount val="11"/>
                <c:pt idx="0">
                  <c:v>0.55530024100016195</c:v>
                </c:pt>
                <c:pt idx="1">
                  <c:v>1.8750351180304099</c:v>
                </c:pt>
                <c:pt idx="2">
                  <c:v>0.81193200437018098</c:v>
                </c:pt>
                <c:pt idx="3">
                  <c:v>0.69313767433709805</c:v>
                </c:pt>
                <c:pt idx="4">
                  <c:v>1.8247698695123999</c:v>
                </c:pt>
                <c:pt idx="5">
                  <c:v>3.4170199194848299</c:v>
                </c:pt>
                <c:pt idx="6">
                  <c:v>3.76389165999062</c:v>
                </c:pt>
                <c:pt idx="7">
                  <c:v>2.2860207062964202</c:v>
                </c:pt>
                <c:pt idx="8">
                  <c:v>3.5749896658423199</c:v>
                </c:pt>
                <c:pt idx="9">
                  <c:v>2.53556193116491</c:v>
                </c:pt>
                <c:pt idx="10">
                  <c:v>2.6116406300840556</c:v>
                </c:pt>
              </c:numCache>
            </c:numRef>
          </c:val>
          <c:smooth val="0"/>
          <c:extLst>
            <c:ext xmlns:c16="http://schemas.microsoft.com/office/drawing/2014/chart" uri="{C3380CC4-5D6E-409C-BE32-E72D297353CC}">
              <c16:uniqueId val="{00000004-DD2D-4637-B91E-779767697CB0}"/>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u250kW'!$A$50</c:f>
          <c:strCache>
            <c:ptCount val="1"/>
            <c:pt idx="0">
              <c:v>Average price per tonne landed (£)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2336-447C-80C1-348F4A7B6996}"/>
              </c:ext>
            </c:extLst>
          </c:dPt>
          <c:dPt>
            <c:idx val="10"/>
            <c:bubble3D val="0"/>
            <c:spPr>
              <a:ln w="57150">
                <a:solidFill>
                  <a:schemeClr val="accent4"/>
                </a:solidFill>
                <a:prstDash val="sysDot"/>
              </a:ln>
            </c:spPr>
            <c:extLst>
              <c:ext xmlns:c16="http://schemas.microsoft.com/office/drawing/2014/chart" uri="{C3380CC4-5D6E-409C-BE32-E72D297353CC}">
                <c16:uniqueId val="{00000003-2336-447C-80C1-348F4A7B6996}"/>
              </c:ext>
            </c:extLst>
          </c:dPt>
          <c:cat>
            <c:numRef>
              <c:f>'South West beamers u250kW'!$D$2:$M$2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u250kW'!$D$20:$N$20</c:f>
              <c:numCache>
                <c:formatCode>#,##0</c:formatCode>
                <c:ptCount val="11"/>
                <c:pt idx="0">
                  <c:v>3772</c:v>
                </c:pt>
                <c:pt idx="1">
                  <c:v>3042</c:v>
                </c:pt>
                <c:pt idx="2">
                  <c:v>2917</c:v>
                </c:pt>
                <c:pt idx="3">
                  <c:v>3019</c:v>
                </c:pt>
                <c:pt idx="4">
                  <c:v>2795</c:v>
                </c:pt>
                <c:pt idx="5">
                  <c:v>3476</c:v>
                </c:pt>
                <c:pt idx="6">
                  <c:v>3933</c:v>
                </c:pt>
                <c:pt idx="7">
                  <c:v>3888</c:v>
                </c:pt>
                <c:pt idx="8">
                  <c:v>3542</c:v>
                </c:pt>
                <c:pt idx="9">
                  <c:v>3271</c:v>
                </c:pt>
                <c:pt idx="10">
                  <c:v>3719</c:v>
                </c:pt>
              </c:numCache>
            </c:numRef>
          </c:val>
          <c:smooth val="0"/>
          <c:extLst>
            <c:ext xmlns:c16="http://schemas.microsoft.com/office/drawing/2014/chart" uri="{C3380CC4-5D6E-409C-BE32-E72D297353CC}">
              <c16:uniqueId val="{00000004-2336-447C-80C1-348F4A7B6996}"/>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u250kW'!$K$62</c:f>
          <c:strCache>
            <c:ptCount val="1"/>
            <c:pt idx="0">
              <c:v>Average annual operating profit per vessel (£'000)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FCD8-4664-B8AF-AB932A4A9383}"/>
              </c:ext>
            </c:extLst>
          </c:dPt>
          <c:dPt>
            <c:idx val="10"/>
            <c:bubble3D val="0"/>
            <c:spPr>
              <a:ln w="57150">
                <a:solidFill>
                  <a:schemeClr val="accent5"/>
                </a:solidFill>
                <a:prstDash val="sysDot"/>
              </a:ln>
            </c:spPr>
            <c:extLst>
              <c:ext xmlns:c16="http://schemas.microsoft.com/office/drawing/2014/chart" uri="{C3380CC4-5D6E-409C-BE32-E72D297353CC}">
                <c16:uniqueId val="{00000003-FCD8-4664-B8AF-AB932A4A9383}"/>
              </c:ext>
            </c:extLst>
          </c:dPt>
          <c:cat>
            <c:numRef>
              <c:f>'South West beamers u250kW'!$D$2:$M$2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'South West beamers u250kW'!$D$37:$N$37</c:f>
              <c:numCache>
                <c:formatCode>#,##0.0</c:formatCode>
                <c:ptCount val="11"/>
                <c:pt idx="0">
                  <c:v>26</c:v>
                </c:pt>
                <c:pt idx="1">
                  <c:v>99.6</c:v>
                </c:pt>
                <c:pt idx="2">
                  <c:v>44</c:v>
                </c:pt>
                <c:pt idx="3">
                  <c:v>36.4</c:v>
                </c:pt>
                <c:pt idx="4">
                  <c:v>88.7</c:v>
                </c:pt>
                <c:pt idx="5">
                  <c:v>175</c:v>
                </c:pt>
                <c:pt idx="6">
                  <c:v>188.1</c:v>
                </c:pt>
                <c:pt idx="7">
                  <c:v>109.7</c:v>
                </c:pt>
                <c:pt idx="8">
                  <c:v>175.3</c:v>
                </c:pt>
                <c:pt idx="9">
                  <c:v>110.6</c:v>
                </c:pt>
                <c:pt idx="10">
                  <c:v>123.10000000000001</c:v>
                </c:pt>
              </c:numCache>
            </c:numRef>
          </c:val>
          <c:smooth val="0"/>
          <c:extLst>
            <c:ext xmlns:c16="http://schemas.microsoft.com/office/drawing/2014/chart" uri="{C3380CC4-5D6E-409C-BE32-E72D297353CC}">
              <c16:uniqueId val="{00000004-FCD8-4664-B8AF-AB932A4A9383}"/>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u250kW'!$A$76</c:f>
          <c:strCache>
            <c:ptCount val="1"/>
            <c:pt idx="0">
              <c:v>Top 5 landed species by volume in 2020
South West beamers under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E87308"/>
              </a:solidFill>
              <a:ln>
                <a:solidFill>
                  <a:srgbClr val="FFFFFF"/>
                </a:solidFill>
              </a:ln>
            </c:spPr>
            <c:extLst>
              <c:ext xmlns:c16="http://schemas.microsoft.com/office/drawing/2014/chart" uri="{C3380CC4-5D6E-409C-BE32-E72D297353CC}">
                <c16:uniqueId val="{00000001-3911-43D4-9433-A5C1BFE0D013}"/>
              </c:ext>
            </c:extLst>
          </c:dPt>
          <c:dPt>
            <c:idx val="1"/>
            <c:bubble3D val="0"/>
            <c:spPr>
              <a:solidFill>
                <a:srgbClr val="648C2E"/>
              </a:solidFill>
              <a:ln>
                <a:solidFill>
                  <a:srgbClr val="FFFFFF"/>
                </a:solidFill>
              </a:ln>
            </c:spPr>
            <c:extLst>
              <c:ext xmlns:c16="http://schemas.microsoft.com/office/drawing/2014/chart" uri="{C3380CC4-5D6E-409C-BE32-E72D297353CC}">
                <c16:uniqueId val="{00000003-3911-43D4-9433-A5C1BFE0D013}"/>
              </c:ext>
            </c:extLst>
          </c:dPt>
          <c:dPt>
            <c:idx val="2"/>
            <c:bubble3D val="0"/>
            <c:spPr>
              <a:solidFill>
                <a:srgbClr val="2273B9"/>
              </a:solidFill>
              <a:ln>
                <a:solidFill>
                  <a:srgbClr val="FFFFFF"/>
                </a:solidFill>
              </a:ln>
            </c:spPr>
            <c:extLst>
              <c:ext xmlns:c16="http://schemas.microsoft.com/office/drawing/2014/chart" uri="{C3380CC4-5D6E-409C-BE32-E72D297353CC}">
                <c16:uniqueId val="{00000005-3911-43D4-9433-A5C1BFE0D013}"/>
              </c:ext>
            </c:extLst>
          </c:dPt>
          <c:dPt>
            <c:idx val="3"/>
            <c:bubble3D val="0"/>
            <c:spPr>
              <a:solidFill>
                <a:srgbClr val="E84A38"/>
              </a:solidFill>
              <a:ln>
                <a:solidFill>
                  <a:srgbClr val="FFFFFF"/>
                </a:solidFill>
              </a:ln>
            </c:spPr>
            <c:extLst>
              <c:ext xmlns:c16="http://schemas.microsoft.com/office/drawing/2014/chart" uri="{C3380CC4-5D6E-409C-BE32-E72D297353CC}">
                <c16:uniqueId val="{00000007-3911-43D4-9433-A5C1BFE0D013}"/>
              </c:ext>
            </c:extLst>
          </c:dPt>
          <c:dPt>
            <c:idx val="4"/>
            <c:bubble3D val="0"/>
            <c:spPr>
              <a:solidFill>
                <a:srgbClr val="C1D119"/>
              </a:solidFill>
              <a:ln>
                <a:solidFill>
                  <a:srgbClr val="FFFFFF"/>
                </a:solidFill>
              </a:ln>
            </c:spPr>
            <c:extLst>
              <c:ext xmlns:c16="http://schemas.microsoft.com/office/drawing/2014/chart" uri="{C3380CC4-5D6E-409C-BE32-E72D297353CC}">
                <c16:uniqueId val="{00000009-3911-43D4-9433-A5C1BFE0D013}"/>
              </c:ext>
            </c:extLst>
          </c:dPt>
          <c:dPt>
            <c:idx val="5"/>
            <c:bubble3D val="0"/>
            <c:spPr>
              <a:solidFill>
                <a:srgbClr val="55585A"/>
              </a:solidFill>
              <a:ln>
                <a:solidFill>
                  <a:srgbClr val="FFFFFF"/>
                </a:solidFill>
              </a:ln>
            </c:spPr>
            <c:extLst>
              <c:ext xmlns:c16="http://schemas.microsoft.com/office/drawing/2014/chart" uri="{C3380CC4-5D6E-409C-BE32-E72D297353CC}">
                <c16:uniqueId val="{0000000B-3911-43D4-9433-A5C1BFE0D013}"/>
              </c:ext>
            </c:extLst>
          </c:dPt>
          <c:cat>
            <c:strRef>
              <c:f>'South West beamers u250kW'!$B$77:$B$82</c:f>
              <c:strCache>
                <c:ptCount val="6"/>
                <c:pt idx="0">
                  <c:v>Cuttlefish - 21.0%</c:v>
                </c:pt>
                <c:pt idx="1">
                  <c:v>Anglerfish - 14.4%</c:v>
                </c:pt>
                <c:pt idx="2">
                  <c:v>Sole - 12.0%</c:v>
                </c:pt>
                <c:pt idx="3">
                  <c:v>Scallops - 10.3%</c:v>
                </c:pt>
                <c:pt idx="4">
                  <c:v>Plaice - 10.0%</c:v>
                </c:pt>
                <c:pt idx="5">
                  <c:v>Others - 32.3%</c:v>
                </c:pt>
              </c:strCache>
            </c:strRef>
          </c:cat>
          <c:val>
            <c:numRef>
              <c:f>'South West beamers u250kW'!$C$77:$C$82</c:f>
              <c:numCache>
                <c:formatCode>0.0%</c:formatCode>
                <c:ptCount val="6"/>
                <c:pt idx="0">
                  <c:v>0.21024859472611526</c:v>
                </c:pt>
                <c:pt idx="1">
                  <c:v>0.14356948229669658</c:v>
                </c:pt>
                <c:pt idx="2">
                  <c:v>0.11977425234462577</c:v>
                </c:pt>
                <c:pt idx="3">
                  <c:v>0.10339352057997832</c:v>
                </c:pt>
                <c:pt idx="4">
                  <c:v>0.10022485392832742</c:v>
                </c:pt>
                <c:pt idx="5">
                  <c:v>0.32278929612425666</c:v>
                </c:pt>
              </c:numCache>
            </c:numRef>
          </c:val>
          <c:extLst>
            <c:ext xmlns:c16="http://schemas.microsoft.com/office/drawing/2014/chart" uri="{C3380CC4-5D6E-409C-BE32-E72D297353CC}">
              <c16:uniqueId val="{0000000C-3911-43D4-9433-A5C1BFE0D013}"/>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u250kW'!$A$49</c:f>
          <c:strCache>
            <c:ptCount val="1"/>
            <c:pt idx="0">
              <c:v>Fishing income per kW day at sea (£)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54D4-4978-A9D4-72FBA194E9B8}"/>
              </c:ext>
            </c:extLst>
          </c:dPt>
          <c:dPt>
            <c:idx val="10"/>
            <c:bubble3D val="0"/>
            <c:spPr>
              <a:ln w="57150">
                <a:solidFill>
                  <a:srgbClr val="648C2E"/>
                </a:solidFill>
                <a:prstDash val="sysDot"/>
              </a:ln>
            </c:spPr>
            <c:extLst>
              <c:ext xmlns:c16="http://schemas.microsoft.com/office/drawing/2014/chart" uri="{C3380CC4-5D6E-409C-BE32-E72D297353CC}">
                <c16:uniqueId val="{00000003-54D4-4978-A9D4-72FBA194E9B8}"/>
              </c:ext>
            </c:extLst>
          </c:dPt>
          <c:cat>
            <c:numRef>
              <c:f>'Area VIIa nephrops u250kW'!$D$2:$N$2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'Area VIIa nephrops u250kW'!$D$22:$N$22</c:f>
              <c:numCache>
                <c:formatCode>#,##0.00</c:formatCode>
                <c:ptCount val="11"/>
                <c:pt idx="0">
                  <c:v>7.79703373712809</c:v>
                </c:pt>
                <c:pt idx="1">
                  <c:v>8.2150986175028802</c:v>
                </c:pt>
                <c:pt idx="2">
                  <c:v>6.52793410721155</c:v>
                </c:pt>
                <c:pt idx="3">
                  <c:v>6.3237412448790797</c:v>
                </c:pt>
                <c:pt idx="4">
                  <c:v>7.3346288614263804</c:v>
                </c:pt>
                <c:pt idx="5">
                  <c:v>7.7334630356795699</c:v>
                </c:pt>
                <c:pt idx="6">
                  <c:v>7.91119914115112</c:v>
                </c:pt>
                <c:pt idx="7">
                  <c:v>7.2871492826297102</c:v>
                </c:pt>
                <c:pt idx="8">
                  <c:v>8.1362467914774292</c:v>
                </c:pt>
                <c:pt idx="9">
                  <c:v>6.8152216061212103</c:v>
                </c:pt>
                <c:pt idx="10">
                  <c:v>6.6398822912512454</c:v>
                </c:pt>
              </c:numCache>
            </c:numRef>
          </c:val>
          <c:smooth val="0"/>
          <c:extLst>
            <c:ext xmlns:c16="http://schemas.microsoft.com/office/drawing/2014/chart" uri="{C3380CC4-5D6E-409C-BE32-E72D297353CC}">
              <c16:uniqueId val="{00000004-54D4-4978-A9D4-72FBA194E9B8}"/>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u250kW'!$F$76</c:f>
          <c:strCache>
            <c:ptCount val="1"/>
            <c:pt idx="0">
              <c:v>Top 5 landed species by value in 2020
South West beamers under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B1F9-4DE4-B70C-5E50E83E4BCB}"/>
              </c:ext>
            </c:extLst>
          </c:dPt>
          <c:dPt>
            <c:idx val="1"/>
            <c:bubble3D val="0"/>
            <c:spPr>
              <a:solidFill>
                <a:srgbClr val="E87308"/>
              </a:solidFill>
              <a:ln>
                <a:solidFill>
                  <a:srgbClr val="FFFFFF"/>
                </a:solidFill>
              </a:ln>
            </c:spPr>
            <c:extLst>
              <c:ext xmlns:c16="http://schemas.microsoft.com/office/drawing/2014/chart" uri="{C3380CC4-5D6E-409C-BE32-E72D297353CC}">
                <c16:uniqueId val="{00000003-B1F9-4DE4-B70C-5E50E83E4BCB}"/>
              </c:ext>
            </c:extLst>
          </c:dPt>
          <c:dPt>
            <c:idx val="2"/>
            <c:bubble3D val="0"/>
            <c:spPr>
              <a:solidFill>
                <a:srgbClr val="648C2E"/>
              </a:solidFill>
              <a:ln>
                <a:solidFill>
                  <a:srgbClr val="FFFFFF"/>
                </a:solidFill>
              </a:ln>
            </c:spPr>
            <c:extLst>
              <c:ext xmlns:c16="http://schemas.microsoft.com/office/drawing/2014/chart" uri="{C3380CC4-5D6E-409C-BE32-E72D297353CC}">
                <c16:uniqueId val="{00000005-B1F9-4DE4-B70C-5E50E83E4BCB}"/>
              </c:ext>
            </c:extLst>
          </c:dPt>
          <c:dPt>
            <c:idx val="3"/>
            <c:bubble3D val="0"/>
            <c:spPr>
              <a:solidFill>
                <a:srgbClr val="C1D119"/>
              </a:solidFill>
              <a:ln>
                <a:solidFill>
                  <a:srgbClr val="FFFFFF"/>
                </a:solidFill>
              </a:ln>
            </c:spPr>
            <c:extLst>
              <c:ext xmlns:c16="http://schemas.microsoft.com/office/drawing/2014/chart" uri="{C3380CC4-5D6E-409C-BE32-E72D297353CC}">
                <c16:uniqueId val="{00000007-B1F9-4DE4-B70C-5E50E83E4BCB}"/>
              </c:ext>
            </c:extLst>
          </c:dPt>
          <c:dPt>
            <c:idx val="4"/>
            <c:bubble3D val="0"/>
            <c:spPr>
              <a:solidFill>
                <a:srgbClr val="E84A38"/>
              </a:solidFill>
              <a:ln>
                <a:solidFill>
                  <a:srgbClr val="FFFFFF"/>
                </a:solidFill>
              </a:ln>
            </c:spPr>
            <c:extLst>
              <c:ext xmlns:c16="http://schemas.microsoft.com/office/drawing/2014/chart" uri="{C3380CC4-5D6E-409C-BE32-E72D297353CC}">
                <c16:uniqueId val="{00000009-B1F9-4DE4-B70C-5E50E83E4BCB}"/>
              </c:ext>
            </c:extLst>
          </c:dPt>
          <c:dPt>
            <c:idx val="5"/>
            <c:bubble3D val="0"/>
            <c:spPr>
              <a:solidFill>
                <a:srgbClr val="55585A"/>
              </a:solidFill>
              <a:ln>
                <a:solidFill>
                  <a:srgbClr val="FFFFFF"/>
                </a:solidFill>
              </a:ln>
            </c:spPr>
            <c:extLst>
              <c:ext xmlns:c16="http://schemas.microsoft.com/office/drawing/2014/chart" uri="{C3380CC4-5D6E-409C-BE32-E72D297353CC}">
                <c16:uniqueId val="{0000000B-B1F9-4DE4-B70C-5E50E83E4BCB}"/>
              </c:ext>
            </c:extLst>
          </c:dPt>
          <c:cat>
            <c:strRef>
              <c:f>'South West beamers u250kW'!$G$77:$G$82</c:f>
              <c:strCache>
                <c:ptCount val="6"/>
                <c:pt idx="0">
                  <c:v>Sole - 39.2%</c:v>
                </c:pt>
                <c:pt idx="1">
                  <c:v>Cuttlefish - 13.9%</c:v>
                </c:pt>
                <c:pt idx="2">
                  <c:v>Anglerfish - 12.5%</c:v>
                </c:pt>
                <c:pt idx="3">
                  <c:v>Plaice - 6.7%</c:v>
                </c:pt>
                <c:pt idx="4">
                  <c:v>Scallops - 5.7%</c:v>
                </c:pt>
                <c:pt idx="5">
                  <c:v>Others - 22.0%</c:v>
                </c:pt>
              </c:strCache>
            </c:strRef>
          </c:cat>
          <c:val>
            <c:numRef>
              <c:f>'South West beamers u250kW'!$H$77:$H$82</c:f>
              <c:numCache>
                <c:formatCode>0.0%</c:formatCode>
                <c:ptCount val="6"/>
                <c:pt idx="0">
                  <c:v>0.39215882348513015</c:v>
                </c:pt>
                <c:pt idx="1">
                  <c:v>0.13882001904842975</c:v>
                </c:pt>
                <c:pt idx="2">
                  <c:v>0.12455001921056869</c:v>
                </c:pt>
                <c:pt idx="3">
                  <c:v>6.7293824960304907E-2</c:v>
                </c:pt>
                <c:pt idx="4">
                  <c:v>5.7375586233593567E-2</c:v>
                </c:pt>
                <c:pt idx="5">
                  <c:v>0.21980172706197298</c:v>
                </c:pt>
              </c:numCache>
            </c:numRef>
          </c:val>
          <c:extLst>
            <c:ext xmlns:c16="http://schemas.microsoft.com/office/drawing/2014/chart" uri="{C3380CC4-5D6E-409C-BE32-E72D297353CC}">
              <c16:uniqueId val="{0000000C-B1F9-4DE4-B70C-5E50E83E4BCB}"/>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u250kW'!$K$77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'South West beamers u250kW'!$C$92</c:f>
              <c:strCache>
                <c:ptCount val="1"/>
                <c:pt idx="0">
                  <c:v>Sole</c:v>
                </c:pt>
              </c:strCache>
            </c:strRef>
          </c:tx>
          <c:spPr>
            <a:solidFill>
              <a:srgbClr val="2273B9"/>
            </a:solidFill>
            <a:ln>
              <a:solidFill>
                <a:srgbClr val="FFFFFF"/>
              </a:solidFill>
            </a:ln>
          </c:spPr>
          <c:invertIfNegative val="0"/>
          <c:cat>
            <c:numRef>
              <c:f>'South West beamers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u250kW'!$D$92:$M$92</c:f>
              <c:numCache>
                <c:formatCode>0%</c:formatCode>
                <c:ptCount val="10"/>
                <c:pt idx="0">
                  <c:v>0.29691433154849461</c:v>
                </c:pt>
                <c:pt idx="1">
                  <c:v>0.30137013569889393</c:v>
                </c:pt>
                <c:pt idx="2">
                  <c:v>0.31327666193874859</c:v>
                </c:pt>
                <c:pt idx="3">
                  <c:v>0.249869726285287</c:v>
                </c:pt>
                <c:pt idx="4">
                  <c:v>0.30845283126236539</c:v>
                </c:pt>
                <c:pt idx="5">
                  <c:v>0.27127441686556769</c:v>
                </c:pt>
                <c:pt idx="6">
                  <c:v>0.30619542803316985</c:v>
                </c:pt>
                <c:pt idx="7">
                  <c:v>0.34313585285352427</c:v>
                </c:pt>
                <c:pt idx="8">
                  <c:v>0.39215882348513015</c:v>
                </c:pt>
                <c:pt idx="9">
                  <c:v>0.37383740074223321</c:v>
                </c:pt>
              </c:numCache>
            </c:numRef>
          </c:val>
          <c:extLst>
            <c:ext xmlns:c16="http://schemas.microsoft.com/office/drawing/2014/chart" uri="{C3380CC4-5D6E-409C-BE32-E72D297353CC}">
              <c16:uniqueId val="{00000000-473F-4C6E-8023-AB511612DA6A}"/>
            </c:ext>
          </c:extLst>
        </c:ser>
        <c:ser>
          <c:idx val="1"/>
          <c:order val="1"/>
          <c:tx>
            <c:strRef>
              <c:f>'South West beamers u250kW'!$C$93</c:f>
              <c:strCache>
                <c:ptCount val="1"/>
                <c:pt idx="0">
                  <c:v>Cuttlefish</c:v>
                </c:pt>
              </c:strCache>
            </c:strRef>
          </c:tx>
          <c:spPr>
            <a:solidFill>
              <a:srgbClr val="E87308"/>
            </a:solidFill>
            <a:ln>
              <a:solidFill>
                <a:srgbClr val="FFFFFF"/>
              </a:solidFill>
            </a:ln>
          </c:spPr>
          <c:invertIfNegative val="0"/>
          <c:cat>
            <c:numRef>
              <c:f>'South West beamers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u250kW'!$D$93:$M$93</c:f>
              <c:numCache>
                <c:formatCode>0%</c:formatCode>
                <c:ptCount val="10"/>
                <c:pt idx="0">
                  <c:v>0.22601312548148128</c:v>
                </c:pt>
                <c:pt idx="1">
                  <c:v>0.176768965806258</c:v>
                </c:pt>
                <c:pt idx="2">
                  <c:v>0.13221071188071332</c:v>
                </c:pt>
                <c:pt idx="3">
                  <c:v>0.21384471077836212</c:v>
                </c:pt>
                <c:pt idx="4">
                  <c:v>0.20228788958969762</c:v>
                </c:pt>
                <c:pt idx="5">
                  <c:v>0.32155277023419343</c:v>
                </c:pt>
                <c:pt idx="6">
                  <c:v>0.23451764617336684</c:v>
                </c:pt>
                <c:pt idx="7">
                  <c:v>0.19411595030056836</c:v>
                </c:pt>
                <c:pt idx="8">
                  <c:v>0.13882001904842975</c:v>
                </c:pt>
                <c:pt idx="9">
                  <c:v>0.11337697943561206</c:v>
                </c:pt>
              </c:numCache>
            </c:numRef>
          </c:val>
          <c:extLst>
            <c:ext xmlns:c16="http://schemas.microsoft.com/office/drawing/2014/chart" uri="{C3380CC4-5D6E-409C-BE32-E72D297353CC}">
              <c16:uniqueId val="{00000001-473F-4C6E-8023-AB511612DA6A}"/>
            </c:ext>
          </c:extLst>
        </c:ser>
        <c:ser>
          <c:idx val="2"/>
          <c:order val="2"/>
          <c:tx>
            <c:strRef>
              <c:f>'South West beamers u250kW'!$C$94</c:f>
              <c:strCache>
                <c:ptCount val="1"/>
                <c:pt idx="0">
                  <c:v>Anglerfish</c:v>
                </c:pt>
              </c:strCache>
            </c:strRef>
          </c:tx>
          <c:spPr>
            <a:solidFill>
              <a:srgbClr val="648C2E"/>
            </a:solidFill>
            <a:ln>
              <a:solidFill>
                <a:srgbClr val="FFFFFF"/>
              </a:solidFill>
            </a:ln>
          </c:spPr>
          <c:invertIfNegative val="0"/>
          <c:cat>
            <c:numRef>
              <c:f>'South West beamers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u250kW'!$D$94:$M$94</c:f>
              <c:numCache>
                <c:formatCode>0%</c:formatCode>
                <c:ptCount val="10"/>
                <c:pt idx="0">
                  <c:v>0.14394694726582083</c:v>
                </c:pt>
                <c:pt idx="1">
                  <c:v>0.16010500847611142</c:v>
                </c:pt>
                <c:pt idx="2">
                  <c:v>0.15584372871393073</c:v>
                </c:pt>
                <c:pt idx="3">
                  <c:v>0.13602908656050966</c:v>
                </c:pt>
                <c:pt idx="4">
                  <c:v>0.13059844942228363</c:v>
                </c:pt>
                <c:pt idx="5">
                  <c:v>9.2511798252933597E-2</c:v>
                </c:pt>
                <c:pt idx="6">
                  <c:v>7.9992366619658195E-2</c:v>
                </c:pt>
                <c:pt idx="7">
                  <c:v>9.7349065764599632E-2</c:v>
                </c:pt>
                <c:pt idx="8">
                  <c:v>0.12455001921056869</c:v>
                </c:pt>
                <c:pt idx="9">
                  <c:v>0.1499216491316637</c:v>
                </c:pt>
              </c:numCache>
            </c:numRef>
          </c:val>
          <c:extLst>
            <c:ext xmlns:c16="http://schemas.microsoft.com/office/drawing/2014/chart" uri="{C3380CC4-5D6E-409C-BE32-E72D297353CC}">
              <c16:uniqueId val="{00000002-473F-4C6E-8023-AB511612DA6A}"/>
            </c:ext>
          </c:extLst>
        </c:ser>
        <c:ser>
          <c:idx val="3"/>
          <c:order val="3"/>
          <c:tx>
            <c:strRef>
              <c:f>'South West beamers u250kW'!$C$95</c:f>
              <c:strCache>
                <c:ptCount val="1"/>
                <c:pt idx="0">
                  <c:v>Plaice</c:v>
                </c:pt>
              </c:strCache>
            </c:strRef>
          </c:tx>
          <c:spPr>
            <a:solidFill>
              <a:srgbClr val="C1D119"/>
            </a:solidFill>
            <a:ln>
              <a:solidFill>
                <a:srgbClr val="FFFFFF"/>
              </a:solidFill>
            </a:ln>
          </c:spPr>
          <c:invertIfNegative val="0"/>
          <c:cat>
            <c:numRef>
              <c:f>'South West beamers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u250kW'!$D$95:$M$95</c:f>
              <c:numCache>
                <c:formatCode>0%</c:formatCode>
                <c:ptCount val="10"/>
                <c:pt idx="0">
                  <c:v>5.3924473115099888E-2</c:v>
                </c:pt>
                <c:pt idx="1">
                  <c:v>5.2155063158520858E-2</c:v>
                </c:pt>
                <c:pt idx="3">
                  <c:v>5.8053617621774058E-2</c:v>
                </c:pt>
                <c:pt idx="4">
                  <c:v>6.8758930702755891E-2</c:v>
                </c:pt>
                <c:pt idx="5">
                  <c:v>7.0112024980534052E-2</c:v>
                </c:pt>
                <c:pt idx="6">
                  <c:v>8.8835811922408719E-2</c:v>
                </c:pt>
                <c:pt idx="7">
                  <c:v>8.2308144203577308E-2</c:v>
                </c:pt>
                <c:pt idx="8">
                  <c:v>6.7293824960304907E-2</c:v>
                </c:pt>
                <c:pt idx="9">
                  <c:v>6.6723670130601098E-2</c:v>
                </c:pt>
              </c:numCache>
            </c:numRef>
          </c:val>
          <c:extLst>
            <c:ext xmlns:c16="http://schemas.microsoft.com/office/drawing/2014/chart" uri="{C3380CC4-5D6E-409C-BE32-E72D297353CC}">
              <c16:uniqueId val="{00000003-473F-4C6E-8023-AB511612DA6A}"/>
            </c:ext>
          </c:extLst>
        </c:ser>
        <c:ser>
          <c:idx val="4"/>
          <c:order val="4"/>
          <c:tx>
            <c:strRef>
              <c:f>'South West beamers u250kW'!$C$96</c:f>
              <c:strCache>
                <c:ptCount val="1"/>
                <c:pt idx="0">
                  <c:v>Scallops</c:v>
                </c:pt>
              </c:strCache>
            </c:strRef>
          </c:tx>
          <c:spPr>
            <a:solidFill>
              <a:srgbClr val="E84A38"/>
            </a:solidFill>
            <a:ln>
              <a:solidFill>
                <a:srgbClr val="FFFFFF"/>
              </a:solidFill>
            </a:ln>
          </c:spPr>
          <c:invertIfNegative val="0"/>
          <c:cat>
            <c:numRef>
              <c:f>'South West beamers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u250kW'!$D$96:$M$96</c:f>
              <c:numCache>
                <c:formatCode>0%</c:formatCode>
                <c:ptCount val="10"/>
                <c:pt idx="0">
                  <c:v>4.4048966568223442E-2</c:v>
                </c:pt>
                <c:pt idx="1">
                  <c:v>5.7972394508236831E-2</c:v>
                </c:pt>
                <c:pt idx="2">
                  <c:v>7.156080587492529E-2</c:v>
                </c:pt>
                <c:pt idx="3">
                  <c:v>8.3039232908570543E-2</c:v>
                </c:pt>
                <c:pt idx="4">
                  <c:v>5.9237091732385019E-2</c:v>
                </c:pt>
                <c:pt idx="8">
                  <c:v>5.7375586233593567E-2</c:v>
                </c:pt>
              </c:numCache>
            </c:numRef>
          </c:val>
          <c:extLst>
            <c:ext xmlns:c16="http://schemas.microsoft.com/office/drawing/2014/chart" uri="{C3380CC4-5D6E-409C-BE32-E72D297353CC}">
              <c16:uniqueId val="{00000004-473F-4C6E-8023-AB511612DA6A}"/>
            </c:ext>
          </c:extLst>
        </c:ser>
        <c:ser>
          <c:idx val="5"/>
          <c:order val="5"/>
          <c:tx>
            <c:strRef>
              <c:f>'South West beamers u250kW'!$C$97</c:f>
              <c:strCache>
                <c:ptCount val="1"/>
                <c:pt idx="0">
                  <c:v>Turbot</c:v>
                </c:pt>
              </c:strCache>
            </c:strRef>
          </c:tx>
          <c:spPr>
            <a:solidFill>
              <a:srgbClr val="0F9AA9"/>
            </a:solidFill>
            <a:ln>
              <a:solidFill>
                <a:srgbClr val="FFFFFF"/>
              </a:solidFill>
            </a:ln>
          </c:spPr>
          <c:invertIfNegative val="0"/>
          <c:cat>
            <c:numRef>
              <c:f>'South West beamers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u250kW'!$D$97:$M$97</c:f>
              <c:numCache>
                <c:formatCode>0%</c:formatCode>
                <c:ptCount val="10"/>
                <c:pt idx="5">
                  <c:v>4.9078084081424708E-2</c:v>
                </c:pt>
                <c:pt idx="6">
                  <c:v>4.9573355836687732E-2</c:v>
                </c:pt>
                <c:pt idx="7">
                  <c:v>4.9839300509950696E-2</c:v>
                </c:pt>
                <c:pt idx="9">
                  <c:v>5.1923114091215909E-2</c:v>
                </c:pt>
              </c:numCache>
            </c:numRef>
          </c:val>
          <c:extLst>
            <c:ext xmlns:c16="http://schemas.microsoft.com/office/drawing/2014/chart" uri="{C3380CC4-5D6E-409C-BE32-E72D297353CC}">
              <c16:uniqueId val="{00000005-473F-4C6E-8023-AB511612DA6A}"/>
            </c:ext>
          </c:extLst>
        </c:ser>
        <c:ser>
          <c:idx val="6"/>
          <c:order val="6"/>
          <c:tx>
            <c:strRef>
              <c:f>'South West beamers u250kW'!$C$98</c:f>
              <c:strCache>
                <c:ptCount val="1"/>
                <c:pt idx="0">
                  <c:v>Lemon Sole</c:v>
                </c:pt>
              </c:strCache>
            </c:strRef>
          </c:tx>
          <c:spPr>
            <a:solidFill>
              <a:srgbClr val="FED825"/>
            </a:solidFill>
            <a:ln>
              <a:solidFill>
                <a:srgbClr val="FFFFFF"/>
              </a:solidFill>
            </a:ln>
          </c:spPr>
          <c:invertIfNegative val="0"/>
          <c:cat>
            <c:numRef>
              <c:f>'South West beamers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u250kW'!$D$98:$M$98</c:f>
              <c:numCache>
                <c:formatCode>0%</c:formatCode>
                <c:ptCount val="10"/>
                <c:pt idx="2">
                  <c:v>6.1823384450716522E-2</c:v>
                </c:pt>
              </c:numCache>
            </c:numRef>
          </c:val>
          <c:extLst>
            <c:ext xmlns:c16="http://schemas.microsoft.com/office/drawing/2014/chart" uri="{C3380CC4-5D6E-409C-BE32-E72D297353CC}">
              <c16:uniqueId val="{00000006-473F-4C6E-8023-AB511612DA6A}"/>
            </c:ext>
          </c:extLst>
        </c:ser>
        <c:ser>
          <c:idx val="7"/>
          <c:order val="7"/>
          <c:tx>
            <c:strRef>
              <c:f>'South West beamers u250kW'!$C$99</c:f>
              <c:strCache>
                <c:ptCount val="1"/>
                <c:pt idx="0">
                  <c:v>Others</c:v>
                </c:pt>
              </c:strCache>
            </c:strRef>
          </c:tx>
          <c:spPr>
            <a:solidFill>
              <a:srgbClr val="55585A"/>
            </a:solidFill>
            <a:ln>
              <a:solidFill>
                <a:srgbClr val="FFFFFF"/>
              </a:solidFill>
            </a:ln>
          </c:spPr>
          <c:invertIfNegative val="0"/>
          <c:cat>
            <c:numRef>
              <c:f>'South West beamers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'South West beamers u250kW'!$D$99:$M$99</c:f>
              <c:numCache>
                <c:formatCode>0%</c:formatCode>
                <c:ptCount val="10"/>
                <c:pt idx="0">
                  <c:v>0.23515215602087994</c:v>
                </c:pt>
                <c:pt idx="1">
                  <c:v>0.25162843235197896</c:v>
                </c:pt>
                <c:pt idx="2">
                  <c:v>0.26528470714096553</c:v>
                </c:pt>
                <c:pt idx="3">
                  <c:v>0.25916362584549663</c:v>
                </c:pt>
                <c:pt idx="4">
                  <c:v>0.23066480729051245</c:v>
                </c:pt>
                <c:pt idx="5">
                  <c:v>0.19547090558534652</c:v>
                </c:pt>
                <c:pt idx="6">
                  <c:v>0.24088539141470869</c:v>
                </c:pt>
                <c:pt idx="7">
                  <c:v>0.23325168636777971</c:v>
                </c:pt>
                <c:pt idx="8">
                  <c:v>0.21980172706197298</c:v>
                </c:pt>
                <c:pt idx="9">
                  <c:v>0.24421718646867402</c:v>
                </c:pt>
              </c:numCache>
            </c:numRef>
          </c:val>
          <c:extLst>
            <c:ext xmlns:c16="http://schemas.microsoft.com/office/drawing/2014/chart" uri="{C3380CC4-5D6E-409C-BE32-E72D297353CC}">
              <c16:uniqueId val="{00000007-473F-4C6E-8023-AB511612DA6A}"/>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'South West beamers u250kW'!$B$162</c:f>
              <c:strCache>
                <c:ptCount val="1"/>
                <c:pt idx="0">
                  <c:v>Cuttlefish</c:v>
                </c:pt>
              </c:strCache>
            </c:strRef>
          </c:tx>
          <c:spPr>
            <a:solidFill>
              <a:srgbClr val="E87308"/>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u250kW'!$C$162:$E$162</c:f>
              <c:numCache>
                <c:formatCode>0%</c:formatCode>
                <c:ptCount val="3"/>
                <c:pt idx="0">
                  <c:v>0.25451436452914311</c:v>
                </c:pt>
                <c:pt idx="1">
                  <c:v>0.22208845262930968</c:v>
                </c:pt>
                <c:pt idx="2">
                  <c:v>0.13458372579695624</c:v>
                </c:pt>
              </c:numCache>
            </c:numRef>
          </c:val>
          <c:extLst>
            <c:ext xmlns:c16="http://schemas.microsoft.com/office/drawing/2014/chart" uri="{C3380CC4-5D6E-409C-BE32-E72D297353CC}">
              <c16:uniqueId val="{00000000-AD69-4C0C-A86C-0098F711A6B9}"/>
            </c:ext>
          </c:extLst>
        </c:ser>
        <c:ser>
          <c:idx val="1"/>
          <c:order val="1"/>
          <c:tx>
            <c:strRef>
              <c:f>'South West beamers u250kW'!$B$163</c:f>
              <c:strCache>
                <c:ptCount val="1"/>
                <c:pt idx="0">
                  <c:v>Anglerfish</c:v>
                </c:pt>
              </c:strCache>
            </c:strRef>
          </c:tx>
          <c:spPr>
            <a:solidFill>
              <a:srgbClr val="648C2E"/>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u250kW'!$C$163:$E$163</c:f>
              <c:numCache>
                <c:formatCode>0%</c:formatCode>
                <c:ptCount val="3"/>
                <c:pt idx="0">
                  <c:v>0.14113575259978917</c:v>
                </c:pt>
                <c:pt idx="1">
                  <c:v>0.17091239258924579</c:v>
                </c:pt>
                <c:pt idx="2">
                  <c:v>0.1139359739202971</c:v>
                </c:pt>
              </c:numCache>
            </c:numRef>
          </c:val>
          <c:extLst>
            <c:ext xmlns:c16="http://schemas.microsoft.com/office/drawing/2014/chart" uri="{C3380CC4-5D6E-409C-BE32-E72D297353CC}">
              <c16:uniqueId val="{00000001-AD69-4C0C-A86C-0098F711A6B9}"/>
            </c:ext>
          </c:extLst>
        </c:ser>
        <c:ser>
          <c:idx val="2"/>
          <c:order val="2"/>
          <c:tx>
            <c:strRef>
              <c:f>'South West beamers u250kW'!$B$164</c:f>
              <c:strCache>
                <c:ptCount val="1"/>
                <c:pt idx="0">
                  <c:v>Sole</c:v>
                </c:pt>
              </c:strCache>
            </c:strRef>
          </c:tx>
          <c:spPr>
            <a:solidFill>
              <a:srgbClr val="2273B9"/>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u250kW'!$C$164:$E$164</c:f>
              <c:numCache>
                <c:formatCode>0%</c:formatCode>
                <c:ptCount val="3"/>
                <c:pt idx="0">
                  <c:v>0.10997345679334189</c:v>
                </c:pt>
                <c:pt idx="1">
                  <c:v>0.14432320132509985</c:v>
                </c:pt>
                <c:pt idx="2">
                  <c:v>0.10596836518728707</c:v>
                </c:pt>
              </c:numCache>
            </c:numRef>
          </c:val>
          <c:extLst>
            <c:ext xmlns:c16="http://schemas.microsoft.com/office/drawing/2014/chart" uri="{C3380CC4-5D6E-409C-BE32-E72D297353CC}">
              <c16:uniqueId val="{00000002-AD69-4C0C-A86C-0098F711A6B9}"/>
            </c:ext>
          </c:extLst>
        </c:ser>
        <c:ser>
          <c:idx val="3"/>
          <c:order val="3"/>
          <c:tx>
            <c:strRef>
              <c:f>'South West beamers u250kW'!$B$165</c:f>
              <c:strCache>
                <c:ptCount val="1"/>
                <c:pt idx="0">
                  <c:v>Scallops</c:v>
                </c:pt>
              </c:strCache>
            </c:strRef>
          </c:tx>
          <c:spPr>
            <a:solidFill>
              <a:srgbClr val="E84A38"/>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u250kW'!$C$165:$E$165</c:f>
              <c:numCache>
                <c:formatCode>0%</c:formatCode>
                <c:ptCount val="3"/>
                <c:pt idx="0">
                  <c:v>7.0034681494360207E-2</c:v>
                </c:pt>
                <c:pt idx="1">
                  <c:v>0.1302470004012129</c:v>
                </c:pt>
                <c:pt idx="2">
                  <c:v>0.12626753626378281</c:v>
                </c:pt>
              </c:numCache>
            </c:numRef>
          </c:val>
          <c:extLst>
            <c:ext xmlns:c16="http://schemas.microsoft.com/office/drawing/2014/chart" uri="{C3380CC4-5D6E-409C-BE32-E72D297353CC}">
              <c16:uniqueId val="{00000003-AD69-4C0C-A86C-0098F711A6B9}"/>
            </c:ext>
          </c:extLst>
        </c:ser>
        <c:ser>
          <c:idx val="4"/>
          <c:order val="4"/>
          <c:tx>
            <c:strRef>
              <c:f>'South West beamers u250kW'!$B$166</c:f>
              <c:strCache>
                <c:ptCount val="1"/>
                <c:pt idx="0">
                  <c:v>Plaice</c:v>
                </c:pt>
              </c:strCache>
            </c:strRef>
          </c:tx>
          <c:spPr>
            <a:solidFill>
              <a:srgbClr val="C1D119"/>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u250kW'!$C$166:$E$166</c:f>
              <c:numCache>
                <c:formatCode>0%</c:formatCode>
                <c:ptCount val="3"/>
                <c:pt idx="0">
                  <c:v>9.7484292085308996E-2</c:v>
                </c:pt>
                <c:pt idx="1">
                  <c:v>0.12525835506248773</c:v>
                </c:pt>
                <c:pt idx="2">
                  <c:v>6.9603813644467494E-2</c:v>
                </c:pt>
              </c:numCache>
            </c:numRef>
          </c:val>
          <c:extLst>
            <c:ext xmlns:c16="http://schemas.microsoft.com/office/drawing/2014/chart" uri="{C3380CC4-5D6E-409C-BE32-E72D297353CC}">
              <c16:uniqueId val="{00000004-AD69-4C0C-A86C-0098F711A6B9}"/>
            </c:ext>
          </c:extLst>
        </c:ser>
        <c:ser>
          <c:idx val="5"/>
          <c:order val="5"/>
          <c:tx>
            <c:strRef>
              <c:f>'South West beamers u250kW'!$B$167</c:f>
              <c:strCache>
                <c:ptCount val="1"/>
                <c:pt idx="0">
                  <c:v>Others</c:v>
                </c:pt>
              </c:strCache>
            </c:strRef>
          </c:tx>
          <c:spPr>
            <a:solidFill>
              <a:srgbClr val="55585A"/>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u250kW'!$C$167:$E$167</c:f>
              <c:numCache>
                <c:formatCode>0%</c:formatCode>
                <c:ptCount val="3"/>
                <c:pt idx="0">
                  <c:v>0.32685745249805664</c:v>
                </c:pt>
                <c:pt idx="1">
                  <c:v>0.20717059799264415</c:v>
                </c:pt>
                <c:pt idx="2">
                  <c:v>0.44964058518720929</c:v>
                </c:pt>
              </c:numCache>
            </c:numRef>
          </c:val>
          <c:extLst>
            <c:ext xmlns:c16="http://schemas.microsoft.com/office/drawing/2014/chart" uri="{C3380CC4-5D6E-409C-BE32-E72D297353CC}">
              <c16:uniqueId val="{00000005-AD69-4C0C-A86C-0098F711A6B9}"/>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'South West beamers u250kW'!$H$162</c:f>
              <c:strCache>
                <c:ptCount val="1"/>
                <c:pt idx="0">
                  <c:v>Sole</c:v>
                </c:pt>
              </c:strCache>
            </c:strRef>
          </c:tx>
          <c:spPr>
            <a:solidFill>
              <a:srgbClr val="2273B9"/>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u250kW'!$I$162:$K$162</c:f>
              <c:numCache>
                <c:formatCode>0%</c:formatCode>
                <c:ptCount val="3"/>
                <c:pt idx="0">
                  <c:v>0.34113614625930638</c:v>
                </c:pt>
                <c:pt idx="1">
                  <c:v>0.43316922540332697</c:v>
                </c:pt>
                <c:pt idx="2">
                  <c:v>0.36100716426024448</c:v>
                </c:pt>
              </c:numCache>
            </c:numRef>
          </c:val>
          <c:extLst>
            <c:ext xmlns:c16="http://schemas.microsoft.com/office/drawing/2014/chart" uri="{C3380CC4-5D6E-409C-BE32-E72D297353CC}">
              <c16:uniqueId val="{00000000-2920-46C4-984A-E510D871E3A7}"/>
            </c:ext>
          </c:extLst>
        </c:ser>
        <c:ser>
          <c:idx val="1"/>
          <c:order val="1"/>
          <c:tx>
            <c:strRef>
              <c:f>'South West beamers u250kW'!$H$163</c:f>
              <c:strCache>
                <c:ptCount val="1"/>
                <c:pt idx="0">
                  <c:v>Anglerfish</c:v>
                </c:pt>
              </c:strCache>
            </c:strRef>
          </c:tx>
          <c:spPr>
            <a:solidFill>
              <a:srgbClr val="648C2E"/>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u250kW'!$I$163:$K$163</c:f>
              <c:numCache>
                <c:formatCode>0%</c:formatCode>
                <c:ptCount val="3"/>
                <c:pt idx="0">
                  <c:v>0.10893871498733189</c:v>
                </c:pt>
                <c:pt idx="1">
                  <c:v>0.14095144597638792</c:v>
                </c:pt>
                <c:pt idx="2">
                  <c:v>0.10560028377433496</c:v>
                </c:pt>
              </c:numCache>
            </c:numRef>
          </c:val>
          <c:extLst>
            <c:ext xmlns:c16="http://schemas.microsoft.com/office/drawing/2014/chart" uri="{C3380CC4-5D6E-409C-BE32-E72D297353CC}">
              <c16:uniqueId val="{00000001-2920-46C4-984A-E510D871E3A7}"/>
            </c:ext>
          </c:extLst>
        </c:ser>
        <c:ser>
          <c:idx val="2"/>
          <c:order val="2"/>
          <c:tx>
            <c:strRef>
              <c:f>'South West beamers u250kW'!$H$164</c:f>
              <c:strCache>
                <c:ptCount val="1"/>
                <c:pt idx="0">
                  <c:v>Cuttlefish</c:v>
                </c:pt>
              </c:strCache>
            </c:strRef>
          </c:tx>
          <c:spPr>
            <a:solidFill>
              <a:srgbClr val="E87308"/>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u250kW'!$I$164:$K$164</c:f>
              <c:numCache>
                <c:formatCode>0%</c:formatCode>
                <c:ptCount val="3"/>
                <c:pt idx="0">
                  <c:v>0.15432235421118848</c:v>
                </c:pt>
                <c:pt idx="1">
                  <c:v>0.13684645914945023</c:v>
                </c:pt>
                <c:pt idx="2">
                  <c:v>9.124525193004128E-2</c:v>
                </c:pt>
              </c:numCache>
            </c:numRef>
          </c:val>
          <c:extLst>
            <c:ext xmlns:c16="http://schemas.microsoft.com/office/drawing/2014/chart" uri="{C3380CC4-5D6E-409C-BE32-E72D297353CC}">
              <c16:uniqueId val="{00000002-2920-46C4-984A-E510D871E3A7}"/>
            </c:ext>
          </c:extLst>
        </c:ser>
        <c:ser>
          <c:idx val="3"/>
          <c:order val="3"/>
          <c:tx>
            <c:strRef>
              <c:f>'South West beamers u250kW'!$H$165</c:f>
              <c:strCache>
                <c:ptCount val="1"/>
                <c:pt idx="0">
                  <c:v>Plaice</c:v>
                </c:pt>
              </c:strCache>
            </c:strRef>
          </c:tx>
          <c:spPr>
            <a:solidFill>
              <a:srgbClr val="C1D119"/>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u250kW'!$I$165:$K$165</c:f>
              <c:numCache>
                <c:formatCode>0%</c:formatCode>
                <c:ptCount val="3"/>
                <c:pt idx="0">
                  <c:v>6.3293542618152399E-2</c:v>
                </c:pt>
                <c:pt idx="1">
                  <c:v>7.4570572619858222E-2</c:v>
                </c:pt>
                <c:pt idx="2">
                  <c:v>5.086519020221112E-2</c:v>
                </c:pt>
              </c:numCache>
            </c:numRef>
          </c:val>
          <c:extLst>
            <c:ext xmlns:c16="http://schemas.microsoft.com/office/drawing/2014/chart" uri="{C3380CC4-5D6E-409C-BE32-E72D297353CC}">
              <c16:uniqueId val="{00000003-2920-46C4-984A-E510D871E3A7}"/>
            </c:ext>
          </c:extLst>
        </c:ser>
        <c:ser>
          <c:idx val="4"/>
          <c:order val="4"/>
          <c:tx>
            <c:strRef>
              <c:f>'South West beamers u250kW'!$H$166</c:f>
              <c:strCache>
                <c:ptCount val="1"/>
                <c:pt idx="0">
                  <c:v>Scallops</c:v>
                </c:pt>
              </c:strCache>
            </c:strRef>
          </c:tx>
          <c:spPr>
            <a:solidFill>
              <a:srgbClr val="E84A38"/>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u250kW'!$I$166:$K$166</c:f>
              <c:numCache>
                <c:formatCode>0%</c:formatCode>
                <c:ptCount val="3"/>
                <c:pt idx="0">
                  <c:v>0</c:v>
                </c:pt>
                <c:pt idx="1">
                  <c:v>6.9135974327934488E-2</c:v>
                </c:pt>
                <c:pt idx="2">
                  <c:v>7.0501336362154776E-2</c:v>
                </c:pt>
              </c:numCache>
            </c:numRef>
          </c:val>
          <c:extLst>
            <c:ext xmlns:c16="http://schemas.microsoft.com/office/drawing/2014/chart" uri="{C3380CC4-5D6E-409C-BE32-E72D297353CC}">
              <c16:uniqueId val="{00000004-2920-46C4-984A-E510D871E3A7}"/>
            </c:ext>
          </c:extLst>
        </c:ser>
        <c:ser>
          <c:idx val="5"/>
          <c:order val="5"/>
          <c:tx>
            <c:strRef>
              <c:f>'South West beamers u250kW'!$H$167</c:f>
              <c:strCache>
                <c:ptCount val="1"/>
                <c:pt idx="0">
                  <c:v>Turbot</c:v>
                </c:pt>
              </c:strCache>
            </c:strRef>
          </c:tx>
          <c:spPr>
            <a:solidFill>
              <a:srgbClr val="0F9AA9"/>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u250kW'!$I$167:$K$167</c:f>
              <c:numCache>
                <c:formatCode>0%</c:formatCode>
                <c:ptCount val="3"/>
                <c:pt idx="0">
                  <c:v>4.7545192074943073E-2</c:v>
                </c:pt>
                <c:pt idx="1">
                  <c:v>0</c:v>
                </c:pt>
                <c:pt idx="2">
                  <c:v>0</c:v>
                </c:pt>
              </c:numCache>
            </c:numRef>
          </c:val>
          <c:extLst>
            <c:ext xmlns:c16="http://schemas.microsoft.com/office/drawing/2014/chart" uri="{C3380CC4-5D6E-409C-BE32-E72D297353CC}">
              <c16:uniqueId val="{00000005-2920-46C4-984A-E510D871E3A7}"/>
            </c:ext>
          </c:extLst>
        </c:ser>
        <c:ser>
          <c:idx val="6"/>
          <c:order val="6"/>
          <c:tx>
            <c:strRef>
              <c:f>'South West beamers u250kW'!$H$168</c:f>
              <c:strCache>
                <c:ptCount val="1"/>
                <c:pt idx="0">
                  <c:v>Others</c:v>
                </c:pt>
              </c:strCache>
            </c:strRef>
          </c:tx>
          <c:spPr>
            <a:solidFill>
              <a:srgbClr val="55585A"/>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u250kW'!$I$168:$K$168</c:f>
              <c:numCache>
                <c:formatCode>0%</c:formatCode>
                <c:ptCount val="3"/>
                <c:pt idx="0">
                  <c:v>0.28476404984907766</c:v>
                </c:pt>
                <c:pt idx="1">
                  <c:v>0.14532632252304212</c:v>
                </c:pt>
                <c:pt idx="2">
                  <c:v>0.32078077347101341</c:v>
                </c:pt>
              </c:numCache>
            </c:numRef>
          </c:val>
          <c:extLst>
            <c:ext xmlns:c16="http://schemas.microsoft.com/office/drawing/2014/chart" uri="{C3380CC4-5D6E-409C-BE32-E72D297353CC}">
              <c16:uniqueId val="{00000006-2920-46C4-984A-E510D871E3A7}"/>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'South West beamers u250kW'!$K$139</c:f>
              <c:strCache>
                <c:ptCount val="1"/>
                <c:pt idx="0">
                  <c:v>Total income</c:v>
                </c:pt>
              </c:strCache>
            </c:strRef>
          </c:tx>
          <c:spPr>
            <a:solidFill>
              <a:srgbClr val="087CBB"/>
            </a:solidFill>
            <a:ln>
              <a:solidFill>
                <a:schemeClr val="accent1"/>
              </a:solidFill>
            </a:ln>
          </c:spPr>
          <c:invertIfNegative val="0"/>
          <c:cat>
            <c:strRef>
              <c:f>'South West beamers u250kW'!$L$138:$N$138</c:f>
              <c:strCache>
                <c:ptCount val="3"/>
                <c:pt idx="0">
                  <c:v>Most
profitable
quartile</c:v>
                </c:pt>
                <c:pt idx="1">
                  <c:v>Middle
two quartiles</c:v>
                </c:pt>
                <c:pt idx="2">
                  <c:v>Least
profitable
quartile</c:v>
                </c:pt>
              </c:strCache>
            </c:strRef>
          </c:cat>
          <c:val>
            <c:numRef>
              <c:f>'South West beamers u250kW'!$L$139:$N$139</c:f>
              <c:numCache>
                <c:formatCode>#,##0</c:formatCode>
                <c:ptCount val="3"/>
                <c:pt idx="0">
                  <c:v>1004.1101875000001</c:v>
                </c:pt>
                <c:pt idx="1">
                  <c:v>759.24303124999994</c:v>
                </c:pt>
                <c:pt idx="2">
                  <c:v>453.25712499999997</c:v>
                </c:pt>
              </c:numCache>
            </c:numRef>
          </c:val>
          <c:extLst>
            <c:ext xmlns:c16="http://schemas.microsoft.com/office/drawing/2014/chart" uri="{C3380CC4-5D6E-409C-BE32-E72D297353CC}">
              <c16:uniqueId val="{00000000-050D-41B5-B6A9-FFDFE1D77A17}"/>
            </c:ext>
          </c:extLst>
        </c:ser>
        <c:ser>
          <c:idx val="1"/>
          <c:order val="1"/>
          <c:tx>
            <c:strRef>
              <c:f>'South West beamers u250kW'!$K$140</c:f>
              <c:strCache>
                <c:ptCount val="1"/>
                <c:pt idx="0">
                  <c:v>Operating costs</c:v>
                </c:pt>
              </c:strCache>
            </c:strRef>
          </c:tx>
          <c:spPr>
            <a:solidFill>
              <a:srgbClr val="E87308"/>
            </a:solidFill>
          </c:spPr>
          <c:invertIfNegative val="0"/>
          <c:cat>
            <c:strRef>
              <c:f>'South West beamers u250kW'!$L$138:$N$138</c:f>
              <c:strCache>
                <c:ptCount val="3"/>
                <c:pt idx="0">
                  <c:v>Most
profitable
quartile</c:v>
                </c:pt>
                <c:pt idx="1">
                  <c:v>Middle
two quartiles</c:v>
                </c:pt>
                <c:pt idx="2">
                  <c:v>Least
profitable
quartile</c:v>
                </c:pt>
              </c:strCache>
            </c:strRef>
          </c:cat>
          <c:val>
            <c:numRef>
              <c:f>'South West beamers u250kW'!$L$140:$N$140</c:f>
              <c:numCache>
                <c:formatCode>#,##0</c:formatCode>
                <c:ptCount val="3"/>
                <c:pt idx="0">
                  <c:v>738.09887500000002</c:v>
                </c:pt>
                <c:pt idx="1">
                  <c:v>582.95656250000002</c:v>
                </c:pt>
                <c:pt idx="2">
                  <c:v>370.18646875000002</c:v>
                </c:pt>
              </c:numCache>
            </c:numRef>
          </c:val>
          <c:extLst>
            <c:ext xmlns:c16="http://schemas.microsoft.com/office/drawing/2014/chart" uri="{C3380CC4-5D6E-409C-BE32-E72D297353CC}">
              <c16:uniqueId val="{00000001-050D-41B5-B6A9-FFDFE1D77A17}"/>
            </c:ext>
          </c:extLst>
        </c:ser>
        <c:ser>
          <c:idx val="2"/>
          <c:order val="2"/>
          <c:tx>
            <c:strRef>
              <c:f>'South West beamers u250kW'!$K$141</c:f>
              <c:strCache>
                <c:ptCount val="1"/>
                <c:pt idx="0">
                  <c:v>Operating profit</c:v>
                </c:pt>
              </c:strCache>
            </c:strRef>
          </c:tx>
          <c:spPr>
            <a:solidFill>
              <a:srgbClr val="51AA81"/>
            </a:solidFill>
          </c:spPr>
          <c:invertIfNegative val="0"/>
          <c:cat>
            <c:strRef>
              <c:f>'South West beamers u250kW'!$L$138:$N$138</c:f>
              <c:strCache>
                <c:ptCount val="3"/>
                <c:pt idx="0">
                  <c:v>Most
profitable
quartile</c:v>
                </c:pt>
                <c:pt idx="1">
                  <c:v>Middle
two quartiles</c:v>
                </c:pt>
                <c:pt idx="2">
                  <c:v>Least
profitable
quartile</c:v>
                </c:pt>
              </c:strCache>
            </c:strRef>
          </c:cat>
          <c:val>
            <c:numRef>
              <c:f>'South West beamers u250kW'!$L$141:$N$141</c:f>
              <c:numCache>
                <c:formatCode>#,##0</c:formatCode>
                <c:ptCount val="3"/>
                <c:pt idx="0">
                  <c:v>266.01131249999997</c:v>
                </c:pt>
                <c:pt idx="1">
                  <c:v>176.28646875000001</c:v>
                </c:pt>
                <c:pt idx="2">
                  <c:v>83.070656249999999</c:v>
                </c:pt>
              </c:numCache>
            </c:numRef>
          </c:val>
          <c:extLst>
            <c:ext xmlns:c16="http://schemas.microsoft.com/office/drawing/2014/chart" uri="{C3380CC4-5D6E-409C-BE32-E72D297353CC}">
              <c16:uniqueId val="{00000002-050D-41B5-B6A9-FFDFE1D77A17}"/>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'South West beamers u250kW'!$K$142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15m'!$A$48</c:f>
          <c:strCache>
            <c:ptCount val="1"/>
            <c:pt idx="0">
              <c:v>Landings per kW day at sea (kg)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93D0-48F2-B7C8-5302D093AD10}"/>
              </c:ext>
            </c:extLst>
          </c:dPt>
          <c:dPt>
            <c:idx val="10"/>
            <c:bubble3D val="0"/>
            <c:spPr>
              <a:ln w="57150">
                <a:solidFill>
                  <a:srgbClr val="2273B9"/>
                </a:solidFill>
                <a:prstDash val="sysDot"/>
              </a:ln>
            </c:spPr>
            <c:extLst>
              <c:ext xmlns:c16="http://schemas.microsoft.com/office/drawing/2014/chart" uri="{C3380CC4-5D6E-409C-BE32-E72D297353CC}">
                <c16:uniqueId val="{00000003-93D0-48F2-B7C8-5302D093AD10}"/>
              </c:ext>
            </c:extLst>
          </c:dPt>
          <c:cat>
            <c:numRef>
              <c:f>'UK scallop dredge over 15m'!$D$2:$N$2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'UK scallop dredge over 15m'!$D$21:$N$21</c:f>
              <c:numCache>
                <c:formatCode>#,##0.00</c:formatCode>
                <c:ptCount val="11"/>
                <c:pt idx="0">
                  <c:v>7.7312373805038961</c:v>
                </c:pt>
                <c:pt idx="1">
                  <c:v>7.7030880411259215</c:v>
                </c:pt>
                <c:pt idx="2">
                  <c:v>5.2875592330166423</c:v>
                </c:pt>
                <c:pt idx="3">
                  <c:v>4.0658175216277659</c:v>
                </c:pt>
                <c:pt idx="4">
                  <c:v>4.2058223622219728</c:v>
                </c:pt>
                <c:pt idx="5">
                  <c:v>3.8946911967839917</c:v>
                </c:pt>
                <c:pt idx="6">
                  <c:v>3.4236551076523414</c:v>
                </c:pt>
                <c:pt idx="7">
                  <c:v>3.1436624503306545</c:v>
                </c:pt>
                <c:pt idx="8">
                  <c:v>3.4968607963811729</c:v>
                </c:pt>
                <c:pt idx="9">
                  <c:v>4.1249343774914333</c:v>
                </c:pt>
                <c:pt idx="10">
                  <c:v>4.5658679754678069</c:v>
                </c:pt>
              </c:numCache>
            </c:numRef>
          </c:val>
          <c:smooth val="0"/>
          <c:extLst>
            <c:ext xmlns:c16="http://schemas.microsoft.com/office/drawing/2014/chart" uri="{C3380CC4-5D6E-409C-BE32-E72D297353CC}">
              <c16:uniqueId val="{00000004-93D0-48F2-B7C8-5302D093AD10}"/>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15m'!$A$49</c:f>
          <c:strCache>
            <c:ptCount val="1"/>
            <c:pt idx="0">
              <c:v>Fishing income per kW day at sea (£)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0979-4AE3-B520-A0022D7580E6}"/>
              </c:ext>
            </c:extLst>
          </c:dPt>
          <c:dPt>
            <c:idx val="10"/>
            <c:bubble3D val="0"/>
            <c:spPr>
              <a:ln w="57150">
                <a:solidFill>
                  <a:srgbClr val="648C2E"/>
                </a:solidFill>
                <a:prstDash val="sysDot"/>
              </a:ln>
            </c:spPr>
            <c:extLst>
              <c:ext xmlns:c16="http://schemas.microsoft.com/office/drawing/2014/chart" uri="{C3380CC4-5D6E-409C-BE32-E72D297353CC}">
                <c16:uniqueId val="{00000003-0979-4AE3-B520-A0022D7580E6}"/>
              </c:ext>
            </c:extLst>
          </c:dPt>
          <c:cat>
            <c:numRef>
              <c:f>'UK scallop dredge over 15m'!$D$2:$N$2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'UK scallop dredge over 15m'!$D$22:$N$22</c:f>
              <c:numCache>
                <c:formatCode>#,##0.00</c:formatCode>
                <c:ptCount val="11"/>
                <c:pt idx="0">
                  <c:v>9.2667140783738304</c:v>
                </c:pt>
                <c:pt idx="1">
                  <c:v>8.7335265077530302</c:v>
                </c:pt>
                <c:pt idx="2">
                  <c:v>7.2932807265016999</c:v>
                </c:pt>
                <c:pt idx="3">
                  <c:v>6.8219481178934602</c:v>
                </c:pt>
                <c:pt idx="4">
                  <c:v>6.9829483668296497</c:v>
                </c:pt>
                <c:pt idx="5">
                  <c:v>7.8048888182820004</c:v>
                </c:pt>
                <c:pt idx="6">
                  <c:v>8.1685602728299003</c:v>
                </c:pt>
                <c:pt idx="7">
                  <c:v>7.9283067093517898</c:v>
                </c:pt>
                <c:pt idx="8">
                  <c:v>7.4341392364170096</c:v>
                </c:pt>
                <c:pt idx="9">
                  <c:v>6.7358875798946798</c:v>
                </c:pt>
                <c:pt idx="10">
                  <c:v>7.489137668783548</c:v>
                </c:pt>
              </c:numCache>
            </c:numRef>
          </c:val>
          <c:smooth val="0"/>
          <c:extLst>
            <c:ext xmlns:c16="http://schemas.microsoft.com/office/drawing/2014/chart" uri="{C3380CC4-5D6E-409C-BE32-E72D297353CC}">
              <c16:uniqueId val="{00000004-0979-4AE3-B520-A0022D7580E6}"/>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15m'!$B$62</c:f>
          <c:strCache>
            <c:ptCount val="1"/>
            <c:pt idx="0">
              <c:v>Total cost per kW day at sea (£)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0163-4048-BB6B-0D041A05C02C}"/>
              </c:ext>
            </c:extLst>
          </c:dPt>
          <c:dPt>
            <c:idx val="10"/>
            <c:bubble3D val="0"/>
            <c:spPr>
              <a:ln w="57150">
                <a:solidFill>
                  <a:srgbClr val="087CBB"/>
                </a:solidFill>
                <a:prstDash val="sysDot"/>
              </a:ln>
            </c:spPr>
            <c:extLst>
              <c:ext xmlns:c16="http://schemas.microsoft.com/office/drawing/2014/chart" uri="{C3380CC4-5D6E-409C-BE32-E72D297353CC}">
                <c16:uniqueId val="{00000003-0163-4048-BB6B-0D041A05C02C}"/>
              </c:ext>
            </c:extLst>
          </c:dPt>
          <c:cat>
            <c:numRef>
              <c:f>'UK scallop dredge over 15m'!$D$2:$N$2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'UK scallop dredge over 15m'!$D$23:$N$23</c:f>
              <c:numCache>
                <c:formatCode>#,##0.00</c:formatCode>
                <c:ptCount val="11"/>
                <c:pt idx="0">
                  <c:v>7.1163414517638204</c:v>
                </c:pt>
                <c:pt idx="1">
                  <c:v>6.9305951796906102</c:v>
                </c:pt>
                <c:pt idx="2">
                  <c:v>6.06125884167332</c:v>
                </c:pt>
                <c:pt idx="3">
                  <c:v>5.8064740495202702</c:v>
                </c:pt>
                <c:pt idx="4">
                  <c:v>5.7510662438397402</c:v>
                </c:pt>
                <c:pt idx="5">
                  <c:v>6.8155034853349497</c:v>
                </c:pt>
                <c:pt idx="6">
                  <c:v>6.8389431362654998</c:v>
                </c:pt>
                <c:pt idx="7">
                  <c:v>7.8584874206007704</c:v>
                </c:pt>
                <c:pt idx="8">
                  <c:v>6.4598393921339596</c:v>
                </c:pt>
                <c:pt idx="9">
                  <c:v>6.1277165314821902</c:v>
                </c:pt>
                <c:pt idx="10">
                  <c:v>6.2573791355352721</c:v>
                </c:pt>
              </c:numCache>
            </c:numRef>
          </c:val>
          <c:smooth val="0"/>
          <c:extLst>
            <c:ext xmlns:c16="http://schemas.microsoft.com/office/drawing/2014/chart" uri="{C3380CC4-5D6E-409C-BE32-E72D297353CC}">
              <c16:uniqueId val="{00000004-0163-4048-BB6B-0D041A05C02C}"/>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15m'!$K$48</c:f>
          <c:strCache>
            <c:ptCount val="1"/>
            <c:pt idx="0">
              <c:v>Operating profit per kW day at sea (£)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433E-4CB3-8B94-67E11181505D}"/>
              </c:ext>
            </c:extLst>
          </c:dPt>
          <c:dPt>
            <c:idx val="10"/>
            <c:bubble3D val="0"/>
            <c:spPr>
              <a:ln w="57150">
                <a:solidFill>
                  <a:schemeClr val="accent3"/>
                </a:solidFill>
                <a:prstDash val="sysDot"/>
              </a:ln>
            </c:spPr>
            <c:extLst>
              <c:ext xmlns:c16="http://schemas.microsoft.com/office/drawing/2014/chart" uri="{C3380CC4-5D6E-409C-BE32-E72D297353CC}">
                <c16:uniqueId val="{00000003-433E-4CB3-8B94-67E11181505D}"/>
              </c:ext>
            </c:extLst>
          </c:dPt>
          <c:cat>
            <c:numRef>
              <c:f>'UK scallop dredge over 15m'!$D$2:$N$2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'UK scallop dredge over 15m'!$D$24:$N$24</c:f>
              <c:numCache>
                <c:formatCode>#,##0.00</c:formatCode>
                <c:ptCount val="11"/>
                <c:pt idx="0">
                  <c:v>2.25076305680351</c:v>
                </c:pt>
                <c:pt idx="1">
                  <c:v>1.94759733681098</c:v>
                </c:pt>
                <c:pt idx="2">
                  <c:v>1.30480709156845</c:v>
                </c:pt>
                <c:pt idx="3">
                  <c:v>1.0790680205487799</c:v>
                </c:pt>
                <c:pt idx="4">
                  <c:v>1.3456621404177</c:v>
                </c:pt>
                <c:pt idx="5">
                  <c:v>1.02437252848194</c:v>
                </c:pt>
                <c:pt idx="6">
                  <c:v>1.64584466889996</c:v>
                </c:pt>
                <c:pt idx="7">
                  <c:v>0.24701150880725101</c:v>
                </c:pt>
                <c:pt idx="8">
                  <c:v>1.16572777855332</c:v>
                </c:pt>
                <c:pt idx="9">
                  <c:v>1.00748949278615</c:v>
                </c:pt>
                <c:pt idx="10">
                  <c:v>1.4886838996336942</c:v>
                </c:pt>
              </c:numCache>
            </c:numRef>
          </c:val>
          <c:smooth val="0"/>
          <c:extLst>
            <c:ext xmlns:c16="http://schemas.microsoft.com/office/drawing/2014/chart" uri="{C3380CC4-5D6E-409C-BE32-E72D297353CC}">
              <c16:uniqueId val="{00000004-433E-4CB3-8B94-67E11181505D}"/>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15m'!$A$50</c:f>
          <c:strCache>
            <c:ptCount val="1"/>
            <c:pt idx="0">
              <c:v>Average price per tonne landed (£)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2D27-4E8B-B02C-27884CF1FB8F}"/>
              </c:ext>
            </c:extLst>
          </c:dPt>
          <c:dPt>
            <c:idx val="10"/>
            <c:bubble3D val="0"/>
            <c:spPr>
              <a:ln w="57150">
                <a:solidFill>
                  <a:schemeClr val="accent4"/>
                </a:solidFill>
                <a:prstDash val="sysDot"/>
              </a:ln>
            </c:spPr>
            <c:extLst>
              <c:ext xmlns:c16="http://schemas.microsoft.com/office/drawing/2014/chart" uri="{C3380CC4-5D6E-409C-BE32-E72D297353CC}">
                <c16:uniqueId val="{00000003-2D27-4E8B-B02C-27884CF1FB8F}"/>
              </c:ext>
            </c:extLst>
          </c:dPt>
          <c:cat>
            <c:numRef>
              <c:f>'UK scallop dredge over 15m'!$D$2:$M$2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over 15m'!$D$20:$N$20</c:f>
              <c:numCache>
                <c:formatCode>#,##0</c:formatCode>
                <c:ptCount val="11"/>
                <c:pt idx="0">
                  <c:v>1199</c:v>
                </c:pt>
                <c:pt idx="1">
                  <c:v>1134</c:v>
                </c:pt>
                <c:pt idx="2">
                  <c:v>1379</c:v>
                </c:pt>
                <c:pt idx="3">
                  <c:v>1678</c:v>
                </c:pt>
                <c:pt idx="4">
                  <c:v>1660</c:v>
                </c:pt>
                <c:pt idx="5">
                  <c:v>2004</c:v>
                </c:pt>
                <c:pt idx="6">
                  <c:v>2386</c:v>
                </c:pt>
                <c:pt idx="7">
                  <c:v>2522</c:v>
                </c:pt>
                <c:pt idx="8">
                  <c:v>2126</c:v>
                </c:pt>
                <c:pt idx="9">
                  <c:v>1633</c:v>
                </c:pt>
                <c:pt idx="10">
                  <c:v>1640</c:v>
                </c:pt>
              </c:numCache>
            </c:numRef>
          </c:val>
          <c:smooth val="0"/>
          <c:extLst>
            <c:ext xmlns:c16="http://schemas.microsoft.com/office/drawing/2014/chart" uri="{C3380CC4-5D6E-409C-BE32-E72D297353CC}">
              <c16:uniqueId val="{00000004-2D27-4E8B-B02C-27884CF1FB8F}"/>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u250kW'!$B$62</c:f>
          <c:strCache>
            <c:ptCount val="1"/>
            <c:pt idx="0">
              <c:v>Total cost per kW day at sea (£)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BC3F-4BC6-A43F-62D607AB1C6D}"/>
              </c:ext>
            </c:extLst>
          </c:dPt>
          <c:dPt>
            <c:idx val="10"/>
            <c:bubble3D val="0"/>
            <c:spPr>
              <a:ln w="57150">
                <a:solidFill>
                  <a:srgbClr val="087CBB"/>
                </a:solidFill>
                <a:prstDash val="sysDot"/>
              </a:ln>
            </c:spPr>
            <c:extLst>
              <c:ext xmlns:c16="http://schemas.microsoft.com/office/drawing/2014/chart" uri="{C3380CC4-5D6E-409C-BE32-E72D297353CC}">
                <c16:uniqueId val="{00000003-BC3F-4BC6-A43F-62D607AB1C6D}"/>
              </c:ext>
            </c:extLst>
          </c:dPt>
          <c:cat>
            <c:numRef>
              <c:f>'Area VIIa nephrops u250kW'!$D$2:$N$2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'Area VIIa nephrops u250kW'!$D$23:$N$23</c:f>
              <c:numCache>
                <c:formatCode>#,##0.00</c:formatCode>
                <c:ptCount val="11"/>
                <c:pt idx="0">
                  <c:v>5.9192593241643001</c:v>
                </c:pt>
                <c:pt idx="1">
                  <c:v>6.5458459560739897</c:v>
                </c:pt>
                <c:pt idx="2">
                  <c:v>5.1975505283642196</c:v>
                </c:pt>
                <c:pt idx="3">
                  <c:v>5.32108985467669</c:v>
                </c:pt>
                <c:pt idx="4">
                  <c:v>5.8411539137156998</c:v>
                </c:pt>
                <c:pt idx="5">
                  <c:v>6.0356982296444004</c:v>
                </c:pt>
                <c:pt idx="6">
                  <c:v>6.4783770361689701</c:v>
                </c:pt>
                <c:pt idx="7">
                  <c:v>5.8708607232054399</c:v>
                </c:pt>
                <c:pt idx="8">
                  <c:v>6.83167950532596</c:v>
                </c:pt>
                <c:pt idx="9">
                  <c:v>5.6613736130190304</c:v>
                </c:pt>
                <c:pt idx="10">
                  <c:v>5.5519254023546667</c:v>
                </c:pt>
              </c:numCache>
            </c:numRef>
          </c:val>
          <c:smooth val="0"/>
          <c:extLst>
            <c:ext xmlns:c16="http://schemas.microsoft.com/office/drawing/2014/chart" uri="{C3380CC4-5D6E-409C-BE32-E72D297353CC}">
              <c16:uniqueId val="{00000004-BC3F-4BC6-A43F-62D607AB1C6D}"/>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15m'!$K$62</c:f>
          <c:strCache>
            <c:ptCount val="1"/>
            <c:pt idx="0">
              <c:v>Average annual operating profit per vessel (£'000)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C3A1-45C7-92A1-F4C64CA76B79}"/>
              </c:ext>
            </c:extLst>
          </c:dPt>
          <c:dPt>
            <c:idx val="10"/>
            <c:bubble3D val="0"/>
            <c:spPr>
              <a:ln w="57150">
                <a:solidFill>
                  <a:schemeClr val="accent5"/>
                </a:solidFill>
                <a:prstDash val="sysDot"/>
              </a:ln>
            </c:spPr>
            <c:extLst>
              <c:ext xmlns:c16="http://schemas.microsoft.com/office/drawing/2014/chart" uri="{C3380CC4-5D6E-409C-BE32-E72D297353CC}">
                <c16:uniqueId val="{00000003-C3A1-45C7-92A1-F4C64CA76B79}"/>
              </c:ext>
            </c:extLst>
          </c:dPt>
          <c:cat>
            <c:numRef>
              <c:f>'UK scallop dredge over 15m'!$D$2:$M$2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over 15m'!$D$37:$N$37</c:f>
              <c:numCache>
                <c:formatCode>#,##0.0</c:formatCode>
                <c:ptCount val="11"/>
                <c:pt idx="0">
                  <c:v>163.5</c:v>
                </c:pt>
                <c:pt idx="1">
                  <c:v>140.69999999999999</c:v>
                </c:pt>
                <c:pt idx="2">
                  <c:v>92.2</c:v>
                </c:pt>
                <c:pt idx="3">
                  <c:v>74.2</c:v>
                </c:pt>
                <c:pt idx="4">
                  <c:v>97.9</c:v>
                </c:pt>
                <c:pt idx="5">
                  <c:v>76.3</c:v>
                </c:pt>
                <c:pt idx="6">
                  <c:v>110.6</c:v>
                </c:pt>
                <c:pt idx="7">
                  <c:v>17.100000000000001</c:v>
                </c:pt>
                <c:pt idx="8">
                  <c:v>81.8</c:v>
                </c:pt>
                <c:pt idx="9">
                  <c:v>59.5</c:v>
                </c:pt>
                <c:pt idx="10">
                  <c:v>109.60000000000001</c:v>
                </c:pt>
              </c:numCache>
            </c:numRef>
          </c:val>
          <c:smooth val="0"/>
          <c:extLst>
            <c:ext xmlns:c16="http://schemas.microsoft.com/office/drawing/2014/chart" uri="{C3380CC4-5D6E-409C-BE32-E72D297353CC}">
              <c16:uniqueId val="{00000004-C3A1-45C7-92A1-F4C64CA76B79}"/>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over 15m'!$A$76</c:f>
          <c:strCache>
            <c:ptCount val="1"/>
            <c:pt idx="0">
              <c:v>Top 5 landed species by volume in 2020
UK scallop dredge over 15m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B3E6-46A1-8931-A76958638D51}"/>
              </c:ext>
            </c:extLst>
          </c:dPt>
          <c:dPt>
            <c:idx val="1"/>
            <c:bubble3D val="0"/>
            <c:spPr>
              <a:solidFill>
                <a:srgbClr val="E87308"/>
              </a:solidFill>
              <a:ln>
                <a:solidFill>
                  <a:srgbClr val="FFFFFF"/>
                </a:solidFill>
              </a:ln>
            </c:spPr>
            <c:extLst>
              <c:ext xmlns:c16="http://schemas.microsoft.com/office/drawing/2014/chart" uri="{C3380CC4-5D6E-409C-BE32-E72D297353CC}">
                <c16:uniqueId val="{00000003-B3E6-46A1-8931-A76958638D51}"/>
              </c:ext>
            </c:extLst>
          </c:dPt>
          <c:dPt>
            <c:idx val="2"/>
            <c:bubble3D val="0"/>
            <c:spPr>
              <a:solidFill>
                <a:srgbClr val="E84A38"/>
              </a:solidFill>
              <a:ln>
                <a:solidFill>
                  <a:srgbClr val="FFFFFF"/>
                </a:solidFill>
              </a:ln>
            </c:spPr>
            <c:extLst>
              <c:ext xmlns:c16="http://schemas.microsoft.com/office/drawing/2014/chart" uri="{C3380CC4-5D6E-409C-BE32-E72D297353CC}">
                <c16:uniqueId val="{00000005-B3E6-46A1-8931-A76958638D51}"/>
              </c:ext>
            </c:extLst>
          </c:dPt>
          <c:dPt>
            <c:idx val="3"/>
            <c:bubble3D val="0"/>
            <c:spPr>
              <a:solidFill>
                <a:srgbClr val="0F9AA9"/>
              </a:solidFill>
              <a:ln>
                <a:solidFill>
                  <a:srgbClr val="FFFFFF"/>
                </a:solidFill>
              </a:ln>
            </c:spPr>
            <c:extLst>
              <c:ext xmlns:c16="http://schemas.microsoft.com/office/drawing/2014/chart" uri="{C3380CC4-5D6E-409C-BE32-E72D297353CC}">
                <c16:uniqueId val="{00000007-B3E6-46A1-8931-A76958638D51}"/>
              </c:ext>
            </c:extLst>
          </c:dPt>
          <c:dPt>
            <c:idx val="4"/>
            <c:bubble3D val="0"/>
            <c:spPr>
              <a:solidFill>
                <a:srgbClr val="648C2E"/>
              </a:solidFill>
              <a:ln>
                <a:solidFill>
                  <a:srgbClr val="FFFFFF"/>
                </a:solidFill>
              </a:ln>
            </c:spPr>
            <c:extLst>
              <c:ext xmlns:c16="http://schemas.microsoft.com/office/drawing/2014/chart" uri="{C3380CC4-5D6E-409C-BE32-E72D297353CC}">
                <c16:uniqueId val="{00000009-B3E6-46A1-8931-A76958638D51}"/>
              </c:ext>
            </c:extLst>
          </c:dPt>
          <c:dPt>
            <c:idx val="5"/>
            <c:bubble3D val="0"/>
            <c:spPr>
              <a:solidFill>
                <a:srgbClr val="55585A"/>
              </a:solidFill>
              <a:ln>
                <a:solidFill>
                  <a:srgbClr val="FFFFFF"/>
                </a:solidFill>
              </a:ln>
            </c:spPr>
            <c:extLst>
              <c:ext xmlns:c16="http://schemas.microsoft.com/office/drawing/2014/chart" uri="{C3380CC4-5D6E-409C-BE32-E72D297353CC}">
                <c16:uniqueId val="{0000000B-B3E6-46A1-8931-A76958638D51}"/>
              </c:ext>
            </c:extLst>
          </c:dPt>
          <c:cat>
            <c:strRef>
              <c:f>'UK scallop dredge over 15m'!$B$77:$B$82</c:f>
              <c:strCache>
                <c:ptCount val="6"/>
                <c:pt idx="0">
                  <c:v>Scallops - 85.1%</c:v>
                </c:pt>
                <c:pt idx="1">
                  <c:v>Queen Scallops - 13.7%</c:v>
                </c:pt>
                <c:pt idx="2">
                  <c:v>Anglerfish - 0.3%</c:v>
                </c:pt>
                <c:pt idx="3">
                  <c:v>Cuttlefish - 0.1%</c:v>
                </c:pt>
                <c:pt idx="4">
                  <c:v>Turbot - 0.1%</c:v>
                </c:pt>
                <c:pt idx="5">
                  <c:v>Others - 0.6%</c:v>
                </c:pt>
              </c:strCache>
            </c:strRef>
          </c:cat>
          <c:val>
            <c:numRef>
              <c:f>'UK scallop dredge over 15m'!$C$77:$C$82</c:f>
              <c:numCache>
                <c:formatCode>0.0%</c:formatCode>
                <c:ptCount val="6"/>
                <c:pt idx="0">
                  <c:v>0.85098026743298472</c:v>
                </c:pt>
                <c:pt idx="1">
                  <c:v>0.13711246079372161</c:v>
                </c:pt>
                <c:pt idx="2">
                  <c:v>3.2668640198581572E-3</c:v>
                </c:pt>
                <c:pt idx="3">
                  <c:v>1.4718368893664293E-3</c:v>
                </c:pt>
                <c:pt idx="4">
                  <c:v>1.1469199401530085E-3</c:v>
                </c:pt>
                <c:pt idx="5">
                  <c:v>6.0216509239159333E-3</c:v>
                </c:pt>
              </c:numCache>
            </c:numRef>
          </c:val>
          <c:extLst>
            <c:ext xmlns:c16="http://schemas.microsoft.com/office/drawing/2014/chart" uri="{C3380CC4-5D6E-409C-BE32-E72D297353CC}">
              <c16:uniqueId val="{0000000C-B3E6-46A1-8931-A76958638D51}"/>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over 15m'!$F$76</c:f>
          <c:strCache>
            <c:ptCount val="1"/>
            <c:pt idx="0">
              <c:v>Top 5 landed species by value in 2020
UK scallop dredge over 15m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8DE3-4E8C-9A8B-627B4ABFB9D2}"/>
              </c:ext>
            </c:extLst>
          </c:dPt>
          <c:dPt>
            <c:idx val="1"/>
            <c:bubble3D val="0"/>
            <c:spPr>
              <a:solidFill>
                <a:srgbClr val="E87308"/>
              </a:solidFill>
              <a:ln>
                <a:solidFill>
                  <a:srgbClr val="FFFFFF"/>
                </a:solidFill>
              </a:ln>
            </c:spPr>
            <c:extLst>
              <c:ext xmlns:c16="http://schemas.microsoft.com/office/drawing/2014/chart" uri="{C3380CC4-5D6E-409C-BE32-E72D297353CC}">
                <c16:uniqueId val="{00000003-8DE3-4E8C-9A8B-627B4ABFB9D2}"/>
              </c:ext>
            </c:extLst>
          </c:dPt>
          <c:dPt>
            <c:idx val="2"/>
            <c:bubble3D val="0"/>
            <c:spPr>
              <a:solidFill>
                <a:srgbClr val="648C2E"/>
              </a:solidFill>
              <a:ln>
                <a:solidFill>
                  <a:srgbClr val="FFFFFF"/>
                </a:solidFill>
              </a:ln>
            </c:spPr>
            <c:extLst>
              <c:ext xmlns:c16="http://schemas.microsoft.com/office/drawing/2014/chart" uri="{C3380CC4-5D6E-409C-BE32-E72D297353CC}">
                <c16:uniqueId val="{00000005-8DE3-4E8C-9A8B-627B4ABFB9D2}"/>
              </c:ext>
            </c:extLst>
          </c:dPt>
          <c:dPt>
            <c:idx val="3"/>
            <c:bubble3D val="0"/>
            <c:spPr>
              <a:solidFill>
                <a:srgbClr val="C1D119"/>
              </a:solidFill>
              <a:ln>
                <a:solidFill>
                  <a:srgbClr val="FFFFFF"/>
                </a:solidFill>
              </a:ln>
            </c:spPr>
            <c:extLst>
              <c:ext xmlns:c16="http://schemas.microsoft.com/office/drawing/2014/chart" uri="{C3380CC4-5D6E-409C-BE32-E72D297353CC}">
                <c16:uniqueId val="{00000007-8DE3-4E8C-9A8B-627B4ABFB9D2}"/>
              </c:ext>
            </c:extLst>
          </c:dPt>
          <c:dPt>
            <c:idx val="4"/>
            <c:bubble3D val="0"/>
            <c:spPr>
              <a:solidFill>
                <a:srgbClr val="E84A38"/>
              </a:solidFill>
              <a:ln>
                <a:solidFill>
                  <a:srgbClr val="FFFFFF"/>
                </a:solidFill>
              </a:ln>
            </c:spPr>
            <c:extLst>
              <c:ext xmlns:c16="http://schemas.microsoft.com/office/drawing/2014/chart" uri="{C3380CC4-5D6E-409C-BE32-E72D297353CC}">
                <c16:uniqueId val="{00000009-8DE3-4E8C-9A8B-627B4ABFB9D2}"/>
              </c:ext>
            </c:extLst>
          </c:dPt>
          <c:dPt>
            <c:idx val="5"/>
            <c:bubble3D val="0"/>
            <c:spPr>
              <a:solidFill>
                <a:srgbClr val="55585A"/>
              </a:solidFill>
              <a:ln>
                <a:solidFill>
                  <a:srgbClr val="FFFFFF"/>
                </a:solidFill>
              </a:ln>
            </c:spPr>
            <c:extLst>
              <c:ext xmlns:c16="http://schemas.microsoft.com/office/drawing/2014/chart" uri="{C3380CC4-5D6E-409C-BE32-E72D297353CC}">
                <c16:uniqueId val="{0000000B-8DE3-4E8C-9A8B-627B4ABFB9D2}"/>
              </c:ext>
            </c:extLst>
          </c:dPt>
          <c:cat>
            <c:strRef>
              <c:f>'UK scallop dredge over 15m'!$G$77:$G$82</c:f>
              <c:strCache>
                <c:ptCount val="6"/>
                <c:pt idx="0">
                  <c:v>Scallops - 93.3%</c:v>
                </c:pt>
                <c:pt idx="1">
                  <c:v>Queen Scallops - 4.5%</c:v>
                </c:pt>
                <c:pt idx="2">
                  <c:v>Turbot - 0.6%</c:v>
                </c:pt>
                <c:pt idx="3">
                  <c:v>Sole - 0.5%</c:v>
                </c:pt>
                <c:pt idx="4">
                  <c:v>Anglerfish - 0.5%</c:v>
                </c:pt>
                <c:pt idx="5">
                  <c:v>Others - 0.7%</c:v>
                </c:pt>
              </c:strCache>
            </c:strRef>
          </c:cat>
          <c:val>
            <c:numRef>
              <c:f>'UK scallop dredge over 15m'!$H$77:$H$82</c:f>
              <c:numCache>
                <c:formatCode>0.0%</c:formatCode>
                <c:ptCount val="6"/>
                <c:pt idx="0">
                  <c:v>0.93270566437554292</c:v>
                </c:pt>
                <c:pt idx="1">
                  <c:v>4.4761684337234389E-2</c:v>
                </c:pt>
                <c:pt idx="2">
                  <c:v>5.6640754139808324E-3</c:v>
                </c:pt>
                <c:pt idx="3">
                  <c:v>5.2624836790088423E-3</c:v>
                </c:pt>
                <c:pt idx="4">
                  <c:v>4.9284659879338328E-3</c:v>
                </c:pt>
                <c:pt idx="5">
                  <c:v>6.677626206299192E-3</c:v>
                </c:pt>
              </c:numCache>
            </c:numRef>
          </c:val>
          <c:extLst>
            <c:ext xmlns:c16="http://schemas.microsoft.com/office/drawing/2014/chart" uri="{C3380CC4-5D6E-409C-BE32-E72D297353CC}">
              <c16:uniqueId val="{0000000C-8DE3-4E8C-9A8B-627B4ABFB9D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over 15m'!$K$77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'UK scallop dredge over 15m'!$C$92</c:f>
              <c:strCache>
                <c:ptCount val="1"/>
                <c:pt idx="0">
                  <c:v>Scallops</c:v>
                </c:pt>
              </c:strCache>
            </c:strRef>
          </c:tx>
          <c:spPr>
            <a:solidFill>
              <a:srgbClr val="2273B9"/>
            </a:solidFill>
            <a:ln>
              <a:solidFill>
                <a:srgbClr val="FFFFFF"/>
              </a:solidFill>
            </a:ln>
          </c:spPr>
          <c:invertIfNegative val="0"/>
          <c:cat>
            <c:numRef>
              <c:f>'UK scallop dredge over 15m'!$D$91:$M$91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over 15m'!$D$92:$M$92</c:f>
              <c:numCache>
                <c:formatCode>0%</c:formatCode>
                <c:ptCount val="10"/>
                <c:pt idx="0">
                  <c:v>0.77831134522136958</c:v>
                </c:pt>
                <c:pt idx="1">
                  <c:v>0.79901777150529618</c:v>
                </c:pt>
                <c:pt idx="2">
                  <c:v>0.83114711652369411</c:v>
                </c:pt>
                <c:pt idx="3">
                  <c:v>0.79259469551252393</c:v>
                </c:pt>
                <c:pt idx="4">
                  <c:v>0.79583931858216594</c:v>
                </c:pt>
                <c:pt idx="5">
                  <c:v>0.88438025220765226</c:v>
                </c:pt>
                <c:pt idx="6">
                  <c:v>0.91241102815141917</c:v>
                </c:pt>
                <c:pt idx="7">
                  <c:v>0.89170093393548455</c:v>
                </c:pt>
                <c:pt idx="8">
                  <c:v>0.93270566437554292</c:v>
                </c:pt>
                <c:pt idx="9">
                  <c:v>0.91466996920453358</c:v>
                </c:pt>
              </c:numCache>
            </c:numRef>
          </c:val>
          <c:extLst>
            <c:ext xmlns:c16="http://schemas.microsoft.com/office/drawing/2014/chart" uri="{C3380CC4-5D6E-409C-BE32-E72D297353CC}">
              <c16:uniqueId val="{00000000-5EE7-4F47-B9B6-D4C39E10EF35}"/>
            </c:ext>
          </c:extLst>
        </c:ser>
        <c:ser>
          <c:idx val="1"/>
          <c:order val="1"/>
          <c:tx>
            <c:strRef>
              <c:f>'UK scallop dredge over 15m'!$C$93</c:f>
              <c:strCache>
                <c:ptCount val="1"/>
                <c:pt idx="0">
                  <c:v>Queen Scallops</c:v>
                </c:pt>
              </c:strCache>
            </c:strRef>
          </c:tx>
          <c:spPr>
            <a:solidFill>
              <a:srgbClr val="E87308"/>
            </a:solidFill>
            <a:ln>
              <a:solidFill>
                <a:srgbClr val="FFFFFF"/>
              </a:solidFill>
            </a:ln>
          </c:spPr>
          <c:invertIfNegative val="0"/>
          <c:cat>
            <c:numRef>
              <c:f>'UK scallop dredge over 15m'!$D$91:$M$91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over 15m'!$D$93:$M$93</c:f>
              <c:numCache>
                <c:formatCode>0%</c:formatCode>
                <c:ptCount val="10"/>
                <c:pt idx="0">
                  <c:v>0.16274483335884099</c:v>
                </c:pt>
                <c:pt idx="1">
                  <c:v>0.14143028998800206</c:v>
                </c:pt>
                <c:pt idx="2">
                  <c:v>9.9747224544622481E-2</c:v>
                </c:pt>
                <c:pt idx="3">
                  <c:v>0.14612373647606963</c:v>
                </c:pt>
                <c:pt idx="4">
                  <c:v>0.14751056521023639</c:v>
                </c:pt>
                <c:pt idx="5">
                  <c:v>0.10019471300157902</c:v>
                </c:pt>
                <c:pt idx="6">
                  <c:v>7.1585914122192854E-2</c:v>
                </c:pt>
                <c:pt idx="7">
                  <c:v>8.369093681070261E-2</c:v>
                </c:pt>
                <c:pt idx="8">
                  <c:v>4.4761684337234389E-2</c:v>
                </c:pt>
                <c:pt idx="9">
                  <c:v>3.8743745379546189E-2</c:v>
                </c:pt>
              </c:numCache>
            </c:numRef>
          </c:val>
          <c:extLst>
            <c:ext xmlns:c16="http://schemas.microsoft.com/office/drawing/2014/chart" uri="{C3380CC4-5D6E-409C-BE32-E72D297353CC}">
              <c16:uniqueId val="{00000001-5EE7-4F47-B9B6-D4C39E10EF35}"/>
            </c:ext>
          </c:extLst>
        </c:ser>
        <c:ser>
          <c:idx val="2"/>
          <c:order val="2"/>
          <c:tx>
            <c:strRef>
              <c:f>'UK scallop dredge over 15m'!$C$94</c:f>
              <c:strCache>
                <c:ptCount val="1"/>
                <c:pt idx="0">
                  <c:v>Turbot</c:v>
                </c:pt>
              </c:strCache>
            </c:strRef>
          </c:tx>
          <c:spPr>
            <a:solidFill>
              <a:srgbClr val="648C2E"/>
            </a:solidFill>
            <a:ln>
              <a:solidFill>
                <a:srgbClr val="FFFFFF"/>
              </a:solidFill>
            </a:ln>
          </c:spPr>
          <c:invertIfNegative val="0"/>
          <c:cat>
            <c:numRef>
              <c:f>'UK scallop dredge over 15m'!$D$91:$M$91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over 15m'!$D$94:$M$94</c:f>
              <c:numCache>
                <c:formatCode>0%</c:formatCode>
                <c:ptCount val="10"/>
                <c:pt idx="1">
                  <c:v>8.8085085627958894E-3</c:v>
                </c:pt>
                <c:pt idx="2">
                  <c:v>1.1164988204088492E-2</c:v>
                </c:pt>
                <c:pt idx="3">
                  <c:v>8.4611288348846059E-3</c:v>
                </c:pt>
                <c:pt idx="4">
                  <c:v>5.8931872208221447E-3</c:v>
                </c:pt>
                <c:pt idx="5">
                  <c:v>2.8557912690854422E-3</c:v>
                </c:pt>
                <c:pt idx="6">
                  <c:v>3.3503510907827586E-3</c:v>
                </c:pt>
                <c:pt idx="7">
                  <c:v>5.2357870727419544E-3</c:v>
                </c:pt>
                <c:pt idx="8">
                  <c:v>5.6640754139808324E-3</c:v>
                </c:pt>
                <c:pt idx="9">
                  <c:v>8.2936782766671047E-3</c:v>
                </c:pt>
              </c:numCache>
            </c:numRef>
          </c:val>
          <c:extLst>
            <c:ext xmlns:c16="http://schemas.microsoft.com/office/drawing/2014/chart" uri="{C3380CC4-5D6E-409C-BE32-E72D297353CC}">
              <c16:uniqueId val="{00000002-5EE7-4F47-B9B6-D4C39E10EF35}"/>
            </c:ext>
          </c:extLst>
        </c:ser>
        <c:ser>
          <c:idx val="3"/>
          <c:order val="3"/>
          <c:tx>
            <c:strRef>
              <c:f>'UK scallop dredge over 15m'!$C$95</c:f>
              <c:strCache>
                <c:ptCount val="1"/>
                <c:pt idx="0">
                  <c:v>Sole</c:v>
                </c:pt>
              </c:strCache>
            </c:strRef>
          </c:tx>
          <c:spPr>
            <a:solidFill>
              <a:srgbClr val="C1D119"/>
            </a:solidFill>
            <a:ln>
              <a:solidFill>
                <a:srgbClr val="FFFFFF"/>
              </a:solidFill>
            </a:ln>
          </c:spPr>
          <c:invertIfNegative val="0"/>
          <c:cat>
            <c:numRef>
              <c:f>'UK scallop dredge over 15m'!$D$91:$M$91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over 15m'!$D$95:$M$95</c:f>
              <c:numCache>
                <c:formatCode>0%</c:formatCode>
                <c:ptCount val="10"/>
                <c:pt idx="0">
                  <c:v>1.267688135358043E-2</c:v>
                </c:pt>
                <c:pt idx="2">
                  <c:v>9.0569956140306787E-3</c:v>
                </c:pt>
                <c:pt idx="8">
                  <c:v>5.2624836790088423E-3</c:v>
                </c:pt>
                <c:pt idx="9">
                  <c:v>8.8301576099157775E-3</c:v>
                </c:pt>
              </c:numCache>
            </c:numRef>
          </c:val>
          <c:extLst>
            <c:ext xmlns:c16="http://schemas.microsoft.com/office/drawing/2014/chart" uri="{C3380CC4-5D6E-409C-BE32-E72D297353CC}">
              <c16:uniqueId val="{00000003-5EE7-4F47-B9B6-D4C39E10EF35}"/>
            </c:ext>
          </c:extLst>
        </c:ser>
        <c:ser>
          <c:idx val="4"/>
          <c:order val="4"/>
          <c:tx>
            <c:strRef>
              <c:f>'UK scallop dredge over 15m'!$C$96</c:f>
              <c:strCache>
                <c:ptCount val="1"/>
                <c:pt idx="0">
                  <c:v>Anglerfish</c:v>
                </c:pt>
              </c:strCache>
            </c:strRef>
          </c:tx>
          <c:spPr>
            <a:solidFill>
              <a:srgbClr val="E84A38"/>
            </a:solidFill>
            <a:ln>
              <a:solidFill>
                <a:srgbClr val="FFFFFF"/>
              </a:solidFill>
            </a:ln>
          </c:spPr>
          <c:invertIfNegative val="0"/>
          <c:cat>
            <c:numRef>
              <c:f>'UK scallop dredge over 15m'!$D$91:$M$91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over 15m'!$D$96:$M$96</c:f>
              <c:numCache>
                <c:formatCode>0%</c:formatCode>
                <c:ptCount val="10"/>
                <c:pt idx="0">
                  <c:v>7.0491909517661211E-3</c:v>
                </c:pt>
                <c:pt idx="1">
                  <c:v>8.7840802869751169E-3</c:v>
                </c:pt>
                <c:pt idx="5">
                  <c:v>1.5777082649002907E-3</c:v>
                </c:pt>
                <c:pt idx="6">
                  <c:v>1.967011720073986E-3</c:v>
                </c:pt>
                <c:pt idx="7">
                  <c:v>4.5736288630958107E-3</c:v>
                </c:pt>
                <c:pt idx="8">
                  <c:v>4.9284659879338328E-3</c:v>
                </c:pt>
                <c:pt idx="9">
                  <c:v>8.4727722396898686E-3</c:v>
                </c:pt>
              </c:numCache>
            </c:numRef>
          </c:val>
          <c:extLst>
            <c:ext xmlns:c16="http://schemas.microsoft.com/office/drawing/2014/chart" uri="{C3380CC4-5D6E-409C-BE32-E72D297353CC}">
              <c16:uniqueId val="{00000004-5EE7-4F47-B9B6-D4C39E10EF35}"/>
            </c:ext>
          </c:extLst>
        </c:ser>
        <c:ser>
          <c:idx val="5"/>
          <c:order val="5"/>
          <c:tx>
            <c:strRef>
              <c:f>'UK scallop dredge over 15m'!$C$97</c:f>
              <c:strCache>
                <c:ptCount val="1"/>
                <c:pt idx="0">
                  <c:v>Nephrops</c:v>
                </c:pt>
              </c:strCache>
            </c:strRef>
          </c:tx>
          <c:spPr>
            <a:solidFill>
              <a:srgbClr val="0F9AA9"/>
            </a:solidFill>
            <a:ln>
              <a:solidFill>
                <a:srgbClr val="FFFFFF"/>
              </a:solidFill>
            </a:ln>
          </c:spPr>
          <c:invertIfNegative val="0"/>
          <c:cat>
            <c:numRef>
              <c:f>'UK scallop dredge over 15m'!$D$91:$M$91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over 15m'!$D$97:$M$97</c:f>
              <c:numCache>
                <c:formatCode>0%</c:formatCode>
                <c:ptCount val="10"/>
                <c:pt idx="3">
                  <c:v>9.6434653571174662E-3</c:v>
                </c:pt>
                <c:pt idx="4">
                  <c:v>7.1048344791473424E-3</c:v>
                </c:pt>
                <c:pt idx="5">
                  <c:v>5.8272916915204582E-3</c:v>
                </c:pt>
                <c:pt idx="6">
                  <c:v>5.0503557209503891E-3</c:v>
                </c:pt>
                <c:pt idx="7">
                  <c:v>5.478208732486051E-3</c:v>
                </c:pt>
              </c:numCache>
            </c:numRef>
          </c:val>
          <c:extLst>
            <c:ext xmlns:c16="http://schemas.microsoft.com/office/drawing/2014/chart" uri="{C3380CC4-5D6E-409C-BE32-E72D297353CC}">
              <c16:uniqueId val="{00000005-5EE7-4F47-B9B6-D4C39E10EF35}"/>
            </c:ext>
          </c:extLst>
        </c:ser>
        <c:ser>
          <c:idx val="6"/>
          <c:order val="6"/>
          <c:tx>
            <c:strRef>
              <c:f>'UK scallop dredge over 15m'!$C$98</c:f>
              <c:strCache>
                <c:ptCount val="1"/>
                <c:pt idx="0">
                  <c:v>Cuttlefish</c:v>
                </c:pt>
              </c:strCache>
            </c:strRef>
          </c:tx>
          <c:spPr>
            <a:solidFill>
              <a:srgbClr val="FED825"/>
            </a:solidFill>
            <a:ln>
              <a:solidFill>
                <a:srgbClr val="FFFFFF"/>
              </a:solidFill>
            </a:ln>
          </c:spPr>
          <c:invertIfNegative val="0"/>
          <c:cat>
            <c:numRef>
              <c:f>'UK scallop dredge over 15m'!$D$91:$M$91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over 15m'!$D$98:$M$98</c:f>
              <c:numCache>
                <c:formatCode>0%</c:formatCode>
                <c:ptCount val="10"/>
                <c:pt idx="0">
                  <c:v>1.1620925911153528E-2</c:v>
                </c:pt>
                <c:pt idx="1">
                  <c:v>9.9812839249130945E-3</c:v>
                </c:pt>
                <c:pt idx="2">
                  <c:v>1.1887377220047688E-2</c:v>
                </c:pt>
                <c:pt idx="3">
                  <c:v>1.9312969058454935E-2</c:v>
                </c:pt>
                <c:pt idx="4">
                  <c:v>2.2118317841380516E-2</c:v>
                </c:pt>
              </c:numCache>
            </c:numRef>
          </c:val>
          <c:extLst>
            <c:ext xmlns:c16="http://schemas.microsoft.com/office/drawing/2014/chart" uri="{C3380CC4-5D6E-409C-BE32-E72D297353CC}">
              <c16:uniqueId val="{00000006-5EE7-4F47-B9B6-D4C39E10EF35}"/>
            </c:ext>
          </c:extLst>
        </c:ser>
        <c:ser>
          <c:idx val="7"/>
          <c:order val="7"/>
          <c:tx>
            <c:strRef>
              <c:f>'UK scallop dredge over 15m'!$C$99</c:f>
              <c:strCache>
                <c:ptCount val="1"/>
                <c:pt idx="0">
                  <c:v>Others</c:v>
                </c:pt>
              </c:strCache>
            </c:strRef>
          </c:tx>
          <c:spPr>
            <a:solidFill>
              <a:srgbClr val="55585A"/>
            </a:solidFill>
            <a:ln>
              <a:solidFill>
                <a:srgbClr val="FFFFFF"/>
              </a:solidFill>
            </a:ln>
          </c:spPr>
          <c:invertIfNegative val="0"/>
          <c:cat>
            <c:numRef>
              <c:f>'UK scallop dredge over 15m'!$D$91:$M$91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over 15m'!$D$99:$M$99</c:f>
              <c:numCache>
                <c:formatCode>0%</c:formatCode>
                <c:ptCount val="10"/>
                <c:pt idx="0">
                  <c:v>2.7596823203289371E-2</c:v>
                </c:pt>
                <c:pt idx="1">
                  <c:v>3.1978065732017613E-2</c:v>
                </c:pt>
                <c:pt idx="2">
                  <c:v>3.6996297893516515E-2</c:v>
                </c:pt>
                <c:pt idx="3">
                  <c:v>2.3864004760949405E-2</c:v>
                </c:pt>
                <c:pt idx="4">
                  <c:v>2.1533776666247659E-2</c:v>
                </c:pt>
                <c:pt idx="5">
                  <c:v>5.1642435652625614E-3</c:v>
                </c:pt>
                <c:pt idx="6">
                  <c:v>5.6353391945808276E-3</c:v>
                </c:pt>
                <c:pt idx="7">
                  <c:v>9.3205045854890377E-3</c:v>
                </c:pt>
                <c:pt idx="8">
                  <c:v>6.6776262062992258E-3</c:v>
                </c:pt>
                <c:pt idx="9">
                  <c:v>2.0989677289647461E-2</c:v>
                </c:pt>
              </c:numCache>
            </c:numRef>
          </c:val>
          <c:extLst>
            <c:ext xmlns:c16="http://schemas.microsoft.com/office/drawing/2014/chart" uri="{C3380CC4-5D6E-409C-BE32-E72D297353CC}">
              <c16:uniqueId val="{00000007-5EE7-4F47-B9B6-D4C39E10EF35}"/>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'UK scallop dredge over 15m'!$B$162</c:f>
              <c:strCache>
                <c:ptCount val="1"/>
                <c:pt idx="0">
                  <c:v>Scallops</c:v>
                </c:pt>
              </c:strCache>
            </c:strRef>
          </c:tx>
          <c:spPr>
            <a:solidFill>
              <a:srgbClr val="2273B9"/>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15m'!$C$162:$E$162</c:f>
              <c:numCache>
                <c:formatCode>0%</c:formatCode>
                <c:ptCount val="3"/>
                <c:pt idx="0">
                  <c:v>0.32787531187965724</c:v>
                </c:pt>
                <c:pt idx="1">
                  <c:v>0.91206989698570873</c:v>
                </c:pt>
                <c:pt idx="2">
                  <c:v>0.84761055412073938</c:v>
                </c:pt>
              </c:numCache>
            </c:numRef>
          </c:val>
          <c:extLst>
            <c:ext xmlns:c16="http://schemas.microsoft.com/office/drawing/2014/chart" uri="{C3380CC4-5D6E-409C-BE32-E72D297353CC}">
              <c16:uniqueId val="{00000000-1880-4494-8236-3E743B3BBD36}"/>
            </c:ext>
          </c:extLst>
        </c:ser>
        <c:ser>
          <c:idx val="1"/>
          <c:order val="1"/>
          <c:tx>
            <c:strRef>
              <c:f>'UK scallop dredge over 15m'!$B$163</c:f>
              <c:strCache>
                <c:ptCount val="1"/>
                <c:pt idx="0">
                  <c:v>Queen Scallops</c:v>
                </c:pt>
              </c:strCache>
            </c:strRef>
          </c:tx>
          <c:spPr>
            <a:solidFill>
              <a:srgbClr val="E87308"/>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15m'!$C$163:$E$163</c:f>
              <c:numCache>
                <c:formatCode>0%</c:formatCode>
                <c:ptCount val="3"/>
                <c:pt idx="0">
                  <c:v>0.12900819506166944</c:v>
                </c:pt>
                <c:pt idx="1">
                  <c:v>7.487848214461057E-2</c:v>
                </c:pt>
                <c:pt idx="2">
                  <c:v>0.14183310286418491</c:v>
                </c:pt>
              </c:numCache>
            </c:numRef>
          </c:val>
          <c:extLst>
            <c:ext xmlns:c16="http://schemas.microsoft.com/office/drawing/2014/chart" uri="{C3380CC4-5D6E-409C-BE32-E72D297353CC}">
              <c16:uniqueId val="{00000001-1880-4494-8236-3E743B3BBD36}"/>
            </c:ext>
          </c:extLst>
        </c:ser>
        <c:ser>
          <c:idx val="2"/>
          <c:order val="2"/>
          <c:tx>
            <c:strRef>
              <c:f>'UK scallop dredge over 15m'!$B$164</c:f>
              <c:strCache>
                <c:ptCount val="1"/>
                <c:pt idx="0">
                  <c:v>Anglerfish</c:v>
                </c:pt>
              </c:strCache>
            </c:strRef>
          </c:tx>
          <c:spPr>
            <a:solidFill>
              <a:srgbClr val="E84A38"/>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15m'!$C$164:$E$164</c:f>
              <c:numCache>
                <c:formatCode>0%</c:formatCode>
                <c:ptCount val="3"/>
                <c:pt idx="0">
                  <c:v>1.1685775018173039E-3</c:v>
                </c:pt>
                <c:pt idx="1">
                  <c:v>3.889279365001122E-3</c:v>
                </c:pt>
                <c:pt idx="2">
                  <c:v>1.3054403101673241E-3</c:v>
                </c:pt>
              </c:numCache>
            </c:numRef>
          </c:val>
          <c:extLst>
            <c:ext xmlns:c16="http://schemas.microsoft.com/office/drawing/2014/chart" uri="{C3380CC4-5D6E-409C-BE32-E72D297353CC}">
              <c16:uniqueId val="{00000002-1880-4494-8236-3E743B3BBD36}"/>
            </c:ext>
          </c:extLst>
        </c:ser>
        <c:ser>
          <c:idx val="3"/>
          <c:order val="3"/>
          <c:tx>
            <c:strRef>
              <c:f>'UK scallop dredge over 15m'!$B$165</c:f>
              <c:strCache>
                <c:ptCount val="1"/>
                <c:pt idx="0">
                  <c:v>Cuttlefish</c:v>
                </c:pt>
              </c:strCache>
            </c:strRef>
          </c:tx>
          <c:spPr>
            <a:solidFill>
              <a:srgbClr val="0F9AA9"/>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15m'!$C$165:$E$165</c:f>
              <c:numCache>
                <c:formatCode>0%</c:formatCode>
                <c:ptCount val="3"/>
                <c:pt idx="0">
                  <c:v>0</c:v>
                </c:pt>
                <c:pt idx="1">
                  <c:v>2.2152058138604157E-3</c:v>
                </c:pt>
                <c:pt idx="2">
                  <c:v>0</c:v>
                </c:pt>
              </c:numCache>
            </c:numRef>
          </c:val>
          <c:extLst>
            <c:ext xmlns:c16="http://schemas.microsoft.com/office/drawing/2014/chart" uri="{C3380CC4-5D6E-409C-BE32-E72D297353CC}">
              <c16:uniqueId val="{00000003-1880-4494-8236-3E743B3BBD36}"/>
            </c:ext>
          </c:extLst>
        </c:ser>
        <c:ser>
          <c:idx val="4"/>
          <c:order val="4"/>
          <c:tx>
            <c:strRef>
              <c:f>'UK scallop dredge over 15m'!$B$166</c:f>
              <c:strCache>
                <c:ptCount val="1"/>
                <c:pt idx="0">
                  <c:v>Turbot</c:v>
                </c:pt>
              </c:strCache>
            </c:strRef>
          </c:tx>
          <c:spPr>
            <a:solidFill>
              <a:srgbClr val="648C2E"/>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15m'!$C$166:$E$166</c:f>
              <c:numCache>
                <c:formatCode>0%</c:formatCode>
                <c:ptCount val="3"/>
                <c:pt idx="0">
                  <c:v>0</c:v>
                </c:pt>
                <c:pt idx="1">
                  <c:v>1.4764982733985175E-3</c:v>
                </c:pt>
                <c:pt idx="2">
                  <c:v>0</c:v>
                </c:pt>
              </c:numCache>
            </c:numRef>
          </c:val>
          <c:extLst>
            <c:ext xmlns:c16="http://schemas.microsoft.com/office/drawing/2014/chart" uri="{C3380CC4-5D6E-409C-BE32-E72D297353CC}">
              <c16:uniqueId val="{00000004-1880-4494-8236-3E743B3BBD36}"/>
            </c:ext>
          </c:extLst>
        </c:ser>
        <c:ser>
          <c:idx val="5"/>
          <c:order val="5"/>
          <c:tx>
            <c:strRef>
              <c:f>'UK scallop dredge over 15m'!$B$167</c:f>
              <c:strCache>
                <c:ptCount val="1"/>
                <c:pt idx="0">
                  <c:v>Les. Spot. Dog</c:v>
                </c:pt>
              </c:strCache>
            </c:strRef>
          </c:tx>
          <c:spPr>
            <a:solidFill>
              <a:srgbClr val="FED825"/>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15m'!$C$167:$E$167</c:f>
              <c:numCache>
                <c:formatCode>0%</c:formatCode>
                <c:ptCount val="3"/>
                <c:pt idx="0">
                  <c:v>0</c:v>
                </c:pt>
                <c:pt idx="1">
                  <c:v>0</c:v>
                </c:pt>
                <c:pt idx="2">
                  <c:v>5.3377358358987865E-3</c:v>
                </c:pt>
              </c:numCache>
            </c:numRef>
          </c:val>
          <c:extLst>
            <c:ext xmlns:c16="http://schemas.microsoft.com/office/drawing/2014/chart" uri="{C3380CC4-5D6E-409C-BE32-E72D297353CC}">
              <c16:uniqueId val="{00000005-1880-4494-8236-3E743B3BBD36}"/>
            </c:ext>
          </c:extLst>
        </c:ser>
        <c:ser>
          <c:idx val="6"/>
          <c:order val="6"/>
          <c:tx>
            <c:strRef>
              <c:f>'UK scallop dredge over 15m'!$B$168</c:f>
              <c:strCache>
                <c:ptCount val="1"/>
                <c:pt idx="0">
                  <c:v>Nephrops</c:v>
                </c:pt>
              </c:strCache>
            </c:strRef>
          </c:tx>
          <c:spPr>
            <a:solidFill>
              <a:srgbClr val="707271"/>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15m'!$C$168:$E$168</c:f>
              <c:numCache>
                <c:formatCode>0%</c:formatCode>
                <c:ptCount val="3"/>
                <c:pt idx="0">
                  <c:v>9.6764775144585072E-4</c:v>
                </c:pt>
                <c:pt idx="1">
                  <c:v>0</c:v>
                </c:pt>
                <c:pt idx="2">
                  <c:v>9.2263977729585111E-4</c:v>
                </c:pt>
              </c:numCache>
            </c:numRef>
          </c:val>
          <c:extLst>
            <c:ext xmlns:c16="http://schemas.microsoft.com/office/drawing/2014/chart" uri="{C3380CC4-5D6E-409C-BE32-E72D297353CC}">
              <c16:uniqueId val="{00000006-1880-4494-8236-3E743B3BBD36}"/>
            </c:ext>
          </c:extLst>
        </c:ser>
        <c:ser>
          <c:idx val="7"/>
          <c:order val="7"/>
          <c:tx>
            <c:strRef>
              <c:f>'UK scallop dredge over 15m'!$B$169</c:f>
              <c:strCache>
                <c:ptCount val="1"/>
                <c:pt idx="0">
                  <c:v>Plaice</c:v>
                </c:pt>
              </c:strCache>
            </c:strRef>
          </c:tx>
          <c:spPr>
            <a:solidFill>
              <a:srgbClr val="51AA81"/>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15m'!$C$169:$E$169</c:f>
              <c:numCache>
                <c:formatCode>0%</c:formatCode>
                <c:ptCount val="3"/>
                <c:pt idx="0">
                  <c:v>4.1799575933211623E-4</c:v>
                </c:pt>
                <c:pt idx="1">
                  <c:v>0</c:v>
                </c:pt>
                <c:pt idx="2">
                  <c:v>0</c:v>
                </c:pt>
              </c:numCache>
            </c:numRef>
          </c:val>
          <c:extLst>
            <c:ext xmlns:c16="http://schemas.microsoft.com/office/drawing/2014/chart" uri="{C3380CC4-5D6E-409C-BE32-E72D297353CC}">
              <c16:uniqueId val="{00000007-1880-4494-8236-3E743B3BBD36}"/>
            </c:ext>
          </c:extLst>
        </c:ser>
        <c:ser>
          <c:idx val="8"/>
          <c:order val="8"/>
          <c:tx>
            <c:strRef>
              <c:f>'UK scallop dredge over 15m'!$B$170</c:f>
              <c:strCache>
                <c:ptCount val="1"/>
                <c:pt idx="0">
                  <c:v>Others</c:v>
                </c:pt>
              </c:strCache>
            </c:strRef>
          </c:tx>
          <c:spPr>
            <a:solidFill>
              <a:srgbClr val="55585A"/>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15m'!$C$170:$E$170</c:f>
              <c:numCache>
                <c:formatCode>0%</c:formatCode>
                <c:ptCount val="3"/>
                <c:pt idx="0">
                  <c:v>0.5405622720460781</c:v>
                </c:pt>
                <c:pt idx="1">
                  <c:v>5.4706374174207095E-3</c:v>
                </c:pt>
                <c:pt idx="2">
                  <c:v>2.9905270917136573E-3</c:v>
                </c:pt>
              </c:numCache>
            </c:numRef>
          </c:val>
          <c:extLst>
            <c:ext xmlns:c16="http://schemas.microsoft.com/office/drawing/2014/chart" uri="{C3380CC4-5D6E-409C-BE32-E72D297353CC}">
              <c16:uniqueId val="{00000008-1880-4494-8236-3E743B3BBD36}"/>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'UK scallop dredge over 15m'!$H$162</c:f>
              <c:strCache>
                <c:ptCount val="1"/>
                <c:pt idx="0">
                  <c:v>Scallops</c:v>
                </c:pt>
              </c:strCache>
            </c:strRef>
          </c:tx>
          <c:spPr>
            <a:solidFill>
              <a:srgbClr val="2273B9"/>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15m'!$I$162:$K$162</c:f>
              <c:numCache>
                <c:formatCode>0%</c:formatCode>
                <c:ptCount val="3"/>
                <c:pt idx="0">
                  <c:v>0.33501614287570952</c:v>
                </c:pt>
                <c:pt idx="1">
                  <c:v>0.95045307088175568</c:v>
                </c:pt>
                <c:pt idx="2">
                  <c:v>0.86878879833600642</c:v>
                </c:pt>
              </c:numCache>
            </c:numRef>
          </c:val>
          <c:extLst>
            <c:ext xmlns:c16="http://schemas.microsoft.com/office/drawing/2014/chart" uri="{C3380CC4-5D6E-409C-BE32-E72D297353CC}">
              <c16:uniqueId val="{00000000-D3A2-4DFA-A3F2-EA6BF3E30341}"/>
            </c:ext>
          </c:extLst>
        </c:ser>
        <c:ser>
          <c:idx val="1"/>
          <c:order val="1"/>
          <c:tx>
            <c:strRef>
              <c:f>'UK scallop dredge over 15m'!$H$163</c:f>
              <c:strCache>
                <c:ptCount val="1"/>
                <c:pt idx="0">
                  <c:v>Queen Scallops</c:v>
                </c:pt>
              </c:strCache>
            </c:strRef>
          </c:tx>
          <c:spPr>
            <a:solidFill>
              <a:srgbClr val="E87308"/>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15m'!$I$163:$K$163</c:f>
              <c:numCache>
                <c:formatCode>0%</c:formatCode>
                <c:ptCount val="3"/>
                <c:pt idx="0">
                  <c:v>3.5727375337194583E-2</c:v>
                </c:pt>
                <c:pt idx="1">
                  <c:v>2.2312928151510772E-2</c:v>
                </c:pt>
                <c:pt idx="2">
                  <c:v>5.6040879723460876E-2</c:v>
                </c:pt>
              </c:numCache>
            </c:numRef>
          </c:val>
          <c:extLst>
            <c:ext xmlns:c16="http://schemas.microsoft.com/office/drawing/2014/chart" uri="{C3380CC4-5D6E-409C-BE32-E72D297353CC}">
              <c16:uniqueId val="{00000001-D3A2-4DFA-A3F2-EA6BF3E30341}"/>
            </c:ext>
          </c:extLst>
        </c:ser>
        <c:ser>
          <c:idx val="2"/>
          <c:order val="2"/>
          <c:tx>
            <c:strRef>
              <c:f>'UK scallop dredge over 15m'!$H$164</c:f>
              <c:strCache>
                <c:ptCount val="1"/>
                <c:pt idx="0">
                  <c:v>Turbot</c:v>
                </c:pt>
              </c:strCache>
            </c:strRef>
          </c:tx>
          <c:spPr>
            <a:solidFill>
              <a:srgbClr val="648C2E"/>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15m'!$I$164:$K$164</c:f>
              <c:numCache>
                <c:formatCode>0%</c:formatCode>
                <c:ptCount val="3"/>
                <c:pt idx="0">
                  <c:v>8.1049963796754187E-4</c:v>
                </c:pt>
                <c:pt idx="1">
                  <c:v>7.5012437176130153E-3</c:v>
                </c:pt>
                <c:pt idx="2">
                  <c:v>2.7538784719540587E-3</c:v>
                </c:pt>
              </c:numCache>
            </c:numRef>
          </c:val>
          <c:extLst>
            <c:ext xmlns:c16="http://schemas.microsoft.com/office/drawing/2014/chart" uri="{C3380CC4-5D6E-409C-BE32-E72D297353CC}">
              <c16:uniqueId val="{00000002-D3A2-4DFA-A3F2-EA6BF3E30341}"/>
            </c:ext>
          </c:extLst>
        </c:ser>
        <c:ser>
          <c:idx val="3"/>
          <c:order val="3"/>
          <c:tx>
            <c:strRef>
              <c:f>'UK scallop dredge over 15m'!$H$165</c:f>
              <c:strCache>
                <c:ptCount val="1"/>
                <c:pt idx="0">
                  <c:v>Sole</c:v>
                </c:pt>
              </c:strCache>
            </c:strRef>
          </c:tx>
          <c:spPr>
            <a:solidFill>
              <a:srgbClr val="C1D119"/>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15m'!$I$165:$K$165</c:f>
              <c:numCache>
                <c:formatCode>0%</c:formatCode>
                <c:ptCount val="3"/>
                <c:pt idx="0">
                  <c:v>0</c:v>
                </c:pt>
                <c:pt idx="1">
                  <c:v>6.9385055671220032E-3</c:v>
                </c:pt>
                <c:pt idx="2">
                  <c:v>3.4023974800405001E-3</c:v>
                </c:pt>
              </c:numCache>
            </c:numRef>
          </c:val>
          <c:extLst>
            <c:ext xmlns:c16="http://schemas.microsoft.com/office/drawing/2014/chart" uri="{C3380CC4-5D6E-409C-BE32-E72D297353CC}">
              <c16:uniqueId val="{00000003-D3A2-4DFA-A3F2-EA6BF3E30341}"/>
            </c:ext>
          </c:extLst>
        </c:ser>
        <c:ser>
          <c:idx val="4"/>
          <c:order val="4"/>
          <c:tx>
            <c:strRef>
              <c:f>'UK scallop dredge over 15m'!$H$166</c:f>
              <c:strCache>
                <c:ptCount val="1"/>
                <c:pt idx="0">
                  <c:v>Anglerfish</c:v>
                </c:pt>
              </c:strCache>
            </c:strRef>
          </c:tx>
          <c:spPr>
            <a:solidFill>
              <a:srgbClr val="E84A38"/>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15m'!$I$166:$K$166</c:f>
              <c:numCache>
                <c:formatCode>0%</c:formatCode>
                <c:ptCount val="3"/>
                <c:pt idx="0">
                  <c:v>1.5994056228336227E-3</c:v>
                </c:pt>
                <c:pt idx="1">
                  <c:v>5.6741107027292459E-3</c:v>
                </c:pt>
                <c:pt idx="2">
                  <c:v>1.8343854474482109E-3</c:v>
                </c:pt>
              </c:numCache>
            </c:numRef>
          </c:val>
          <c:extLst>
            <c:ext xmlns:c16="http://schemas.microsoft.com/office/drawing/2014/chart" uri="{C3380CC4-5D6E-409C-BE32-E72D297353CC}">
              <c16:uniqueId val="{00000004-D3A2-4DFA-A3F2-EA6BF3E30341}"/>
            </c:ext>
          </c:extLst>
        </c:ser>
        <c:ser>
          <c:idx val="5"/>
          <c:order val="5"/>
          <c:tx>
            <c:strRef>
              <c:f>'UK scallop dredge over 15m'!$H$167</c:f>
              <c:strCache>
                <c:ptCount val="1"/>
                <c:pt idx="0">
                  <c:v>Nephrops</c:v>
                </c:pt>
              </c:strCache>
            </c:strRef>
          </c:tx>
          <c:spPr>
            <a:solidFill>
              <a:srgbClr val="707271"/>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15m'!$I$167:$K$167</c:f>
              <c:numCache>
                <c:formatCode>0%</c:formatCode>
                <c:ptCount val="3"/>
                <c:pt idx="0">
                  <c:v>9.096103839297318E-4</c:v>
                </c:pt>
                <c:pt idx="1">
                  <c:v>0</c:v>
                </c:pt>
                <c:pt idx="2">
                  <c:v>0</c:v>
                </c:pt>
              </c:numCache>
            </c:numRef>
          </c:val>
          <c:extLst>
            <c:ext xmlns:c16="http://schemas.microsoft.com/office/drawing/2014/chart" uri="{C3380CC4-5D6E-409C-BE32-E72D297353CC}">
              <c16:uniqueId val="{00000005-D3A2-4DFA-A3F2-EA6BF3E30341}"/>
            </c:ext>
          </c:extLst>
        </c:ser>
        <c:ser>
          <c:idx val="6"/>
          <c:order val="6"/>
          <c:tx>
            <c:strRef>
              <c:f>'UK scallop dredge over 15m'!$H$168</c:f>
              <c:strCache>
                <c:ptCount val="1"/>
                <c:pt idx="0">
                  <c:v>Others</c:v>
                </c:pt>
              </c:strCache>
            </c:strRef>
          </c:tx>
          <c:spPr>
            <a:solidFill>
              <a:srgbClr val="55585A"/>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15m'!$I$168:$K$168</c:f>
              <c:numCache>
                <c:formatCode>0%</c:formatCode>
                <c:ptCount val="3"/>
                <c:pt idx="0">
                  <c:v>0.62593696614236505</c:v>
                </c:pt>
                <c:pt idx="1">
                  <c:v>7.1201409792692738E-3</c:v>
                </c:pt>
                <c:pt idx="2">
                  <c:v>6.7179660541090036E-2</c:v>
                </c:pt>
              </c:numCache>
            </c:numRef>
          </c:val>
          <c:extLst>
            <c:ext xmlns:c16="http://schemas.microsoft.com/office/drawing/2014/chart" uri="{C3380CC4-5D6E-409C-BE32-E72D297353CC}">
              <c16:uniqueId val="{00000006-D3A2-4DFA-A3F2-EA6BF3E30341}"/>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'UK scallop dredge over 15m'!$K$139</c:f>
              <c:strCache>
                <c:ptCount val="1"/>
                <c:pt idx="0">
                  <c:v>Total income</c:v>
                </c:pt>
              </c:strCache>
            </c:strRef>
          </c:tx>
          <c:spPr>
            <a:solidFill>
              <a:srgbClr val="087CBB"/>
            </a:solidFill>
            <a:ln>
              <a:solidFill>
                <a:schemeClr val="accent1"/>
              </a:solidFill>
            </a:ln>
          </c:spPr>
          <c:invertIfNegative val="0"/>
          <c:cat>
            <c:strRef>
              <c:f>'UK scallop dredge over 15m'!$L$138:$N$138</c:f>
              <c:strCache>
                <c:ptCount val="3"/>
                <c:pt idx="0">
                  <c:v>Most
profitable
quartile</c:v>
                </c:pt>
                <c:pt idx="1">
                  <c:v>Middle
two quartiles</c:v>
                </c:pt>
                <c:pt idx="2">
                  <c:v>Least
profitable
quartile</c:v>
                </c:pt>
              </c:strCache>
            </c:strRef>
          </c:cat>
          <c:val>
            <c:numRef>
              <c:f>'UK scallop dredge over 15m'!$L$139:$N$139</c:f>
              <c:numCache>
                <c:formatCode>#,##0</c:formatCode>
                <c:ptCount val="3"/>
                <c:pt idx="0">
                  <c:v>1061.321625</c:v>
                </c:pt>
                <c:pt idx="1">
                  <c:v>454.27748437499997</c:v>
                </c:pt>
                <c:pt idx="2">
                  <c:v>170.75495312499999</c:v>
                </c:pt>
              </c:numCache>
            </c:numRef>
          </c:val>
          <c:extLst>
            <c:ext xmlns:c16="http://schemas.microsoft.com/office/drawing/2014/chart" uri="{C3380CC4-5D6E-409C-BE32-E72D297353CC}">
              <c16:uniqueId val="{00000000-518B-4438-93FE-A14B022669A3}"/>
            </c:ext>
          </c:extLst>
        </c:ser>
        <c:ser>
          <c:idx val="1"/>
          <c:order val="1"/>
          <c:tx>
            <c:strRef>
              <c:f>'UK scallop dredge over 15m'!$K$140</c:f>
              <c:strCache>
                <c:ptCount val="1"/>
                <c:pt idx="0">
                  <c:v>Operating costs</c:v>
                </c:pt>
              </c:strCache>
            </c:strRef>
          </c:tx>
          <c:spPr>
            <a:solidFill>
              <a:srgbClr val="E87308"/>
            </a:solidFill>
          </c:spPr>
          <c:invertIfNegative val="0"/>
          <c:cat>
            <c:strRef>
              <c:f>'UK scallop dredge over 15m'!$L$138:$N$138</c:f>
              <c:strCache>
                <c:ptCount val="3"/>
                <c:pt idx="0">
                  <c:v>Most
profitable
quartile</c:v>
                </c:pt>
                <c:pt idx="1">
                  <c:v>Middle
two quartiles</c:v>
                </c:pt>
                <c:pt idx="2">
                  <c:v>Least
profitable
quartile</c:v>
                </c:pt>
              </c:strCache>
            </c:strRef>
          </c:cat>
          <c:val>
            <c:numRef>
              <c:f>'UK scallop dredge over 15m'!$L$140:$N$140</c:f>
              <c:numCache>
                <c:formatCode>#,##0</c:formatCode>
                <c:ptCount val="3"/>
                <c:pt idx="0">
                  <c:v>836.63606249999998</c:v>
                </c:pt>
                <c:pt idx="1">
                  <c:v>400.36854687499999</c:v>
                </c:pt>
                <c:pt idx="2">
                  <c:v>176.01803125000001</c:v>
                </c:pt>
              </c:numCache>
            </c:numRef>
          </c:val>
          <c:extLst>
            <c:ext xmlns:c16="http://schemas.microsoft.com/office/drawing/2014/chart" uri="{C3380CC4-5D6E-409C-BE32-E72D297353CC}">
              <c16:uniqueId val="{00000001-518B-4438-93FE-A14B022669A3}"/>
            </c:ext>
          </c:extLst>
        </c:ser>
        <c:ser>
          <c:idx val="2"/>
          <c:order val="2"/>
          <c:tx>
            <c:strRef>
              <c:f>'UK scallop dredge over 15m'!$K$141</c:f>
              <c:strCache>
                <c:ptCount val="1"/>
                <c:pt idx="0">
                  <c:v>Operating profit</c:v>
                </c:pt>
              </c:strCache>
            </c:strRef>
          </c:tx>
          <c:spPr>
            <a:solidFill>
              <a:srgbClr val="51AA81"/>
            </a:solidFill>
          </c:spPr>
          <c:invertIfNegative val="0"/>
          <c:cat>
            <c:strRef>
              <c:f>'UK scallop dredge over 15m'!$L$138:$N$138</c:f>
              <c:strCache>
                <c:ptCount val="3"/>
                <c:pt idx="0">
                  <c:v>Most
profitable
quartile</c:v>
                </c:pt>
                <c:pt idx="1">
                  <c:v>Middle
two quartiles</c:v>
                </c:pt>
                <c:pt idx="2">
                  <c:v>Least
profitable
quartile</c:v>
                </c:pt>
              </c:strCache>
            </c:strRef>
          </c:cat>
          <c:val>
            <c:numRef>
              <c:f>'UK scallop dredge over 15m'!$L$141:$N$141</c:f>
              <c:numCache>
                <c:formatCode>#,##0</c:formatCode>
                <c:ptCount val="3"/>
                <c:pt idx="0">
                  <c:v>224.6855625</c:v>
                </c:pt>
                <c:pt idx="1">
                  <c:v>53.9089375</c:v>
                </c:pt>
                <c:pt idx="2">
                  <c:v>-5.2630781249999998</c:v>
                </c:pt>
              </c:numCache>
            </c:numRef>
          </c:val>
          <c:extLst>
            <c:ext xmlns:c16="http://schemas.microsoft.com/office/drawing/2014/chart" uri="{C3380CC4-5D6E-409C-BE32-E72D297353CC}">
              <c16:uniqueId val="{00000002-518B-4438-93FE-A14B022669A3}"/>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'UK scallop dredge over 15m'!$K$142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15m'!$A$48</c:f>
          <c:strCache>
            <c:ptCount val="1"/>
            <c:pt idx="0">
              <c:v>Landings per kW day at sea (kg)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EAE7-4B3A-BFBE-ADB7E47A5F89}"/>
              </c:ext>
            </c:extLst>
          </c:dPt>
          <c:dPt>
            <c:idx val="10"/>
            <c:bubble3D val="0"/>
            <c:spPr>
              <a:ln w="57150">
                <a:solidFill>
                  <a:srgbClr val="2273B9"/>
                </a:solidFill>
                <a:prstDash val="sysDot"/>
              </a:ln>
            </c:spPr>
            <c:extLst>
              <c:ext xmlns:c16="http://schemas.microsoft.com/office/drawing/2014/chart" uri="{C3380CC4-5D6E-409C-BE32-E72D297353CC}">
                <c16:uniqueId val="{00000003-EAE7-4B3A-BFBE-ADB7E47A5F89}"/>
              </c:ext>
            </c:extLst>
          </c:dPt>
          <c:cat>
            <c:numRef>
              <c:f>'UK scallop dredge under 15m'!$D$2:$N$2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'UK scallop dredge under 15m'!$D$21:$N$21</c:f>
              <c:numCache>
                <c:formatCode>#,##0.00</c:formatCode>
                <c:ptCount val="11"/>
                <c:pt idx="0">
                  <c:v>7.9199977241014317</c:v>
                </c:pt>
                <c:pt idx="1">
                  <c:v>6.5354112487720801</c:v>
                </c:pt>
                <c:pt idx="2">
                  <c:v>7.7882520128140298</c:v>
                </c:pt>
                <c:pt idx="3">
                  <c:v>7.1004815832487802</c:v>
                </c:pt>
                <c:pt idx="4">
                  <c:v>6.9926513290677343</c:v>
                </c:pt>
                <c:pt idx="5">
                  <c:v>5.1164718238853713</c:v>
                </c:pt>
                <c:pt idx="6">
                  <c:v>5.4715309855001584</c:v>
                </c:pt>
                <c:pt idx="7">
                  <c:v>5.8084965309494114</c:v>
                </c:pt>
                <c:pt idx="8">
                  <c:v>6.5166929881002416</c:v>
                </c:pt>
                <c:pt idx="9">
                  <c:v>7.8399621634721637</c:v>
                </c:pt>
                <c:pt idx="10">
                  <c:v>7.087585681885864</c:v>
                </c:pt>
              </c:numCache>
            </c:numRef>
          </c:val>
          <c:smooth val="0"/>
          <c:extLst>
            <c:ext xmlns:c16="http://schemas.microsoft.com/office/drawing/2014/chart" uri="{C3380CC4-5D6E-409C-BE32-E72D297353CC}">
              <c16:uniqueId val="{00000004-EAE7-4B3A-BFBE-ADB7E47A5F89}"/>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15m'!$A$49</c:f>
          <c:strCache>
            <c:ptCount val="1"/>
            <c:pt idx="0">
              <c:v>Fishing income per kW day at sea (£)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A435-4137-BE60-37A44089E936}"/>
              </c:ext>
            </c:extLst>
          </c:dPt>
          <c:dPt>
            <c:idx val="10"/>
            <c:bubble3D val="0"/>
            <c:spPr>
              <a:ln w="57150">
                <a:solidFill>
                  <a:srgbClr val="648C2E"/>
                </a:solidFill>
                <a:prstDash val="sysDot"/>
              </a:ln>
            </c:spPr>
            <c:extLst>
              <c:ext xmlns:c16="http://schemas.microsoft.com/office/drawing/2014/chart" uri="{C3380CC4-5D6E-409C-BE32-E72D297353CC}">
                <c16:uniqueId val="{00000003-A435-4137-BE60-37A44089E936}"/>
              </c:ext>
            </c:extLst>
          </c:dPt>
          <c:cat>
            <c:numRef>
              <c:f>'UK scallop dredge under 15m'!$D$2:$N$2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'UK scallop dredge under 15m'!$D$22:$N$22</c:f>
              <c:numCache>
                <c:formatCode>#,##0.00</c:formatCode>
                <c:ptCount val="11"/>
                <c:pt idx="0">
                  <c:v>9.9763596559636394</c:v>
                </c:pt>
                <c:pt idx="1">
                  <c:v>10.347685561440001</c:v>
                </c:pt>
                <c:pt idx="2">
                  <c:v>9.3501822460397506</c:v>
                </c:pt>
                <c:pt idx="3">
                  <c:v>10.5861003852543</c:v>
                </c:pt>
                <c:pt idx="4">
                  <c:v>9.4610516026500804</c:v>
                </c:pt>
                <c:pt idx="5">
                  <c:v>9.9259425856922601</c:v>
                </c:pt>
                <c:pt idx="6">
                  <c:v>10.9265897135759</c:v>
                </c:pt>
                <c:pt idx="7">
                  <c:v>10.729535919451299</c:v>
                </c:pt>
                <c:pt idx="8">
                  <c:v>11.6528876468265</c:v>
                </c:pt>
                <c:pt idx="9">
                  <c:v>10.389312992662401</c:v>
                </c:pt>
                <c:pt idx="10">
                  <c:v>11.760181135663961</c:v>
                </c:pt>
              </c:numCache>
            </c:numRef>
          </c:val>
          <c:smooth val="0"/>
          <c:extLst>
            <c:ext xmlns:c16="http://schemas.microsoft.com/office/drawing/2014/chart" uri="{C3380CC4-5D6E-409C-BE32-E72D297353CC}">
              <c16:uniqueId val="{00000004-A435-4137-BE60-37A44089E936}"/>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15m'!$B$62</c:f>
          <c:strCache>
            <c:ptCount val="1"/>
            <c:pt idx="0">
              <c:v>Total cost per kW day at sea (£)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3790-4D3D-8569-EFED785EDA11}"/>
              </c:ext>
            </c:extLst>
          </c:dPt>
          <c:dPt>
            <c:idx val="10"/>
            <c:bubble3D val="0"/>
            <c:spPr>
              <a:ln w="57150">
                <a:solidFill>
                  <a:srgbClr val="087CBB"/>
                </a:solidFill>
                <a:prstDash val="sysDot"/>
              </a:ln>
            </c:spPr>
            <c:extLst>
              <c:ext xmlns:c16="http://schemas.microsoft.com/office/drawing/2014/chart" uri="{C3380CC4-5D6E-409C-BE32-E72D297353CC}">
                <c16:uniqueId val="{00000003-3790-4D3D-8569-EFED785EDA11}"/>
              </c:ext>
            </c:extLst>
          </c:dPt>
          <c:cat>
            <c:numRef>
              <c:f>'UK scallop dredge under 15m'!$D$2:$N$2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'UK scallop dredge under 15m'!$D$23:$N$23</c:f>
              <c:numCache>
                <c:formatCode>#,##0.00</c:formatCode>
                <c:ptCount val="11"/>
                <c:pt idx="0">
                  <c:v>8.8195142277657403</c:v>
                </c:pt>
                <c:pt idx="1">
                  <c:v>8.3355933970915004</c:v>
                </c:pt>
                <c:pt idx="2">
                  <c:v>8.1098686677585192</c:v>
                </c:pt>
                <c:pt idx="3">
                  <c:v>8.6915701196879596</c:v>
                </c:pt>
                <c:pt idx="4">
                  <c:v>7.84490129184847</c:v>
                </c:pt>
                <c:pt idx="5">
                  <c:v>8.4594908042867196</c:v>
                </c:pt>
                <c:pt idx="6">
                  <c:v>9.9545032502634498</c:v>
                </c:pt>
                <c:pt idx="7">
                  <c:v>9.3228514927644106</c:v>
                </c:pt>
                <c:pt idx="8">
                  <c:v>10.3575798745269</c:v>
                </c:pt>
                <c:pt idx="9">
                  <c:v>9.0121754367762907</c:v>
                </c:pt>
                <c:pt idx="10">
                  <c:v>9.1742069255348717</c:v>
                </c:pt>
              </c:numCache>
            </c:numRef>
          </c:val>
          <c:smooth val="0"/>
          <c:extLst>
            <c:ext xmlns:c16="http://schemas.microsoft.com/office/drawing/2014/chart" uri="{C3380CC4-5D6E-409C-BE32-E72D297353CC}">
              <c16:uniqueId val="{00000004-3790-4D3D-8569-EFED785EDA11}"/>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u250kW'!$K$48</c:f>
          <c:strCache>
            <c:ptCount val="1"/>
            <c:pt idx="0">
              <c:v>Operating profit per kW day at sea (£)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784B-449A-B033-C1E79F07BA8E}"/>
              </c:ext>
            </c:extLst>
          </c:dPt>
          <c:dPt>
            <c:idx val="10"/>
            <c:bubble3D val="0"/>
            <c:spPr>
              <a:ln w="57150">
                <a:solidFill>
                  <a:schemeClr val="accent3"/>
                </a:solidFill>
                <a:prstDash val="sysDot"/>
              </a:ln>
            </c:spPr>
            <c:extLst>
              <c:ext xmlns:c16="http://schemas.microsoft.com/office/drawing/2014/chart" uri="{C3380CC4-5D6E-409C-BE32-E72D297353CC}">
                <c16:uniqueId val="{00000003-784B-449A-B033-C1E79F07BA8E}"/>
              </c:ext>
            </c:extLst>
          </c:dPt>
          <c:cat>
            <c:numRef>
              <c:f>'Area VIIa nephrops u250kW'!$D$2:$N$2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'Area VIIa nephrops u250kW'!$D$24:$N$24</c:f>
              <c:numCache>
                <c:formatCode>#,##0.00</c:formatCode>
                <c:ptCount val="11"/>
                <c:pt idx="0">
                  <c:v>1.8777744129637901</c:v>
                </c:pt>
                <c:pt idx="1">
                  <c:v>1.87679533949871</c:v>
                </c:pt>
                <c:pt idx="2">
                  <c:v>1.38442730749214</c:v>
                </c:pt>
                <c:pt idx="3">
                  <c:v>1.0360118875545099</c:v>
                </c:pt>
                <c:pt idx="4">
                  <c:v>1.4934749477106799</c:v>
                </c:pt>
                <c:pt idx="5">
                  <c:v>1.69776480603516</c:v>
                </c:pt>
                <c:pt idx="6">
                  <c:v>2.1174292719528101</c:v>
                </c:pt>
                <c:pt idx="7">
                  <c:v>1.52474478707543</c:v>
                </c:pt>
                <c:pt idx="8">
                  <c:v>1.35375442331064</c:v>
                </c:pt>
                <c:pt idx="9">
                  <c:v>2.1549112750088999</c:v>
                </c:pt>
                <c:pt idx="10">
                  <c:v>1.1287645554617007</c:v>
                </c:pt>
              </c:numCache>
            </c:numRef>
          </c:val>
          <c:smooth val="0"/>
          <c:extLst>
            <c:ext xmlns:c16="http://schemas.microsoft.com/office/drawing/2014/chart" uri="{C3380CC4-5D6E-409C-BE32-E72D297353CC}">
              <c16:uniqueId val="{00000004-784B-449A-B033-C1E79F07BA8E}"/>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15m'!$K$48</c:f>
          <c:strCache>
            <c:ptCount val="1"/>
            <c:pt idx="0">
              <c:v>Operating profit per kW day at sea (£)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B54A-4222-9AC4-8ABCEDA4514A}"/>
              </c:ext>
            </c:extLst>
          </c:dPt>
          <c:dPt>
            <c:idx val="10"/>
            <c:bubble3D val="0"/>
            <c:spPr>
              <a:ln w="57150">
                <a:solidFill>
                  <a:schemeClr val="accent3"/>
                </a:solidFill>
                <a:prstDash val="sysDot"/>
              </a:ln>
            </c:spPr>
            <c:extLst>
              <c:ext xmlns:c16="http://schemas.microsoft.com/office/drawing/2014/chart" uri="{C3380CC4-5D6E-409C-BE32-E72D297353CC}">
                <c16:uniqueId val="{00000003-B54A-4222-9AC4-8ABCEDA4514A}"/>
              </c:ext>
            </c:extLst>
          </c:dPt>
          <c:cat>
            <c:numRef>
              <c:f>'UK scallop dredge under 15m'!$D$2:$N$2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'UK scallop dredge under 15m'!$D$24:$N$24</c:f>
              <c:numCache>
                <c:formatCode>#,##0.00</c:formatCode>
                <c:ptCount val="11"/>
                <c:pt idx="0">
                  <c:v>1.22592092461756</c:v>
                </c:pt>
                <c:pt idx="1">
                  <c:v>2.4013446303273001</c:v>
                </c:pt>
                <c:pt idx="2">
                  <c:v>1.5467285729978399</c:v>
                </c:pt>
                <c:pt idx="3">
                  <c:v>2.0201991411766298</c:v>
                </c:pt>
                <c:pt idx="4">
                  <c:v>2.1129654024936402</c:v>
                </c:pt>
                <c:pt idx="5">
                  <c:v>1.8578427773261299</c:v>
                </c:pt>
                <c:pt idx="6">
                  <c:v>1.3581100803033701</c:v>
                </c:pt>
                <c:pt idx="7">
                  <c:v>1.8471473753943799</c:v>
                </c:pt>
                <c:pt idx="8">
                  <c:v>1.84818881661395</c:v>
                </c:pt>
                <c:pt idx="9">
                  <c:v>2.4069352916484599</c:v>
                </c:pt>
                <c:pt idx="10">
                  <c:v>3.2058562083568769</c:v>
                </c:pt>
              </c:numCache>
            </c:numRef>
          </c:val>
          <c:smooth val="0"/>
          <c:extLst>
            <c:ext xmlns:c16="http://schemas.microsoft.com/office/drawing/2014/chart" uri="{C3380CC4-5D6E-409C-BE32-E72D297353CC}">
              <c16:uniqueId val="{00000004-B54A-4222-9AC4-8ABCEDA4514A}"/>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15m'!$A$50</c:f>
          <c:strCache>
            <c:ptCount val="1"/>
            <c:pt idx="0">
              <c:v>Average price per tonne landed (£)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B774-44FB-B2E3-5C0803AEA18F}"/>
              </c:ext>
            </c:extLst>
          </c:dPt>
          <c:dPt>
            <c:idx val="10"/>
            <c:bubble3D val="0"/>
            <c:spPr>
              <a:ln w="57150">
                <a:solidFill>
                  <a:schemeClr val="accent4"/>
                </a:solidFill>
                <a:prstDash val="sysDot"/>
              </a:ln>
            </c:spPr>
            <c:extLst>
              <c:ext xmlns:c16="http://schemas.microsoft.com/office/drawing/2014/chart" uri="{C3380CC4-5D6E-409C-BE32-E72D297353CC}">
                <c16:uniqueId val="{00000003-B774-44FB-B2E3-5C0803AEA18F}"/>
              </c:ext>
            </c:extLst>
          </c:dPt>
          <c:cat>
            <c:numRef>
              <c:f>'UK scallop dredge under 15m'!$D$2:$M$2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under 15m'!$D$20:$N$20</c:f>
              <c:numCache>
                <c:formatCode>#,##0</c:formatCode>
                <c:ptCount val="11"/>
                <c:pt idx="0">
                  <c:v>1260</c:v>
                </c:pt>
                <c:pt idx="1">
                  <c:v>1583</c:v>
                </c:pt>
                <c:pt idx="2">
                  <c:v>1201</c:v>
                </c:pt>
                <c:pt idx="3">
                  <c:v>1491</c:v>
                </c:pt>
                <c:pt idx="4">
                  <c:v>1353</c:v>
                </c:pt>
                <c:pt idx="5">
                  <c:v>1940</c:v>
                </c:pt>
                <c:pt idx="6">
                  <c:v>1997</c:v>
                </c:pt>
                <c:pt idx="7">
                  <c:v>1847</c:v>
                </c:pt>
                <c:pt idx="8">
                  <c:v>1788</c:v>
                </c:pt>
                <c:pt idx="9">
                  <c:v>1325</c:v>
                </c:pt>
                <c:pt idx="10">
                  <c:v>1659</c:v>
                </c:pt>
              </c:numCache>
            </c:numRef>
          </c:val>
          <c:smooth val="0"/>
          <c:extLst>
            <c:ext xmlns:c16="http://schemas.microsoft.com/office/drawing/2014/chart" uri="{C3380CC4-5D6E-409C-BE32-E72D297353CC}">
              <c16:uniqueId val="{00000004-B774-44FB-B2E3-5C0803AEA18F}"/>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15m'!$K$62</c:f>
          <c:strCache>
            <c:ptCount val="1"/>
            <c:pt idx="0">
              <c:v>Average annual operating profit per vessel (£'000)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80F6-4894-B4F2-414C41C67B48}"/>
              </c:ext>
            </c:extLst>
          </c:dPt>
          <c:dPt>
            <c:idx val="10"/>
            <c:bubble3D val="0"/>
            <c:spPr>
              <a:ln w="57150">
                <a:solidFill>
                  <a:schemeClr val="accent5"/>
                </a:solidFill>
                <a:prstDash val="sysDot"/>
              </a:ln>
            </c:spPr>
            <c:extLst>
              <c:ext xmlns:c16="http://schemas.microsoft.com/office/drawing/2014/chart" uri="{C3380CC4-5D6E-409C-BE32-E72D297353CC}">
                <c16:uniqueId val="{00000003-80F6-4894-B4F2-414C41C67B48}"/>
              </c:ext>
            </c:extLst>
          </c:dPt>
          <c:cat>
            <c:numRef>
              <c:f>'UK scallop dredge under 15m'!$D$2:$M$2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'UK scallop dredge under 15m'!$D$37:$N$37</c:f>
              <c:numCache>
                <c:formatCode>#,##0.0</c:formatCode>
                <c:ptCount val="11"/>
                <c:pt idx="0">
                  <c:v>16.600000000000001</c:v>
                </c:pt>
                <c:pt idx="1">
                  <c:v>39.299999999999997</c:v>
                </c:pt>
                <c:pt idx="2">
                  <c:v>22.5</c:v>
                </c:pt>
                <c:pt idx="3">
                  <c:v>28.8</c:v>
                </c:pt>
                <c:pt idx="4">
                  <c:v>31.1</c:v>
                </c:pt>
                <c:pt idx="5">
                  <c:v>32.9</c:v>
                </c:pt>
                <c:pt idx="6">
                  <c:v>19.899999999999999</c:v>
                </c:pt>
                <c:pt idx="7">
                  <c:v>27.4</c:v>
                </c:pt>
                <c:pt idx="8">
                  <c:v>28.4</c:v>
                </c:pt>
                <c:pt idx="9">
                  <c:v>31.1</c:v>
                </c:pt>
                <c:pt idx="10">
                  <c:v>44.6</c:v>
                </c:pt>
              </c:numCache>
            </c:numRef>
          </c:val>
          <c:smooth val="0"/>
          <c:extLst>
            <c:ext xmlns:c16="http://schemas.microsoft.com/office/drawing/2014/chart" uri="{C3380CC4-5D6E-409C-BE32-E72D297353CC}">
              <c16:uniqueId val="{00000004-80F6-4894-B4F2-414C41C67B48}"/>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under 15m'!$A$76</c:f>
          <c:strCache>
            <c:ptCount val="1"/>
            <c:pt idx="0">
              <c:v>Top 5 landed species by volume in 2020
UK scallop dredge under 15m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E87308"/>
              </a:solidFill>
              <a:ln>
                <a:solidFill>
                  <a:srgbClr val="FFFFFF"/>
                </a:solidFill>
              </a:ln>
            </c:spPr>
            <c:extLst>
              <c:ext xmlns:c16="http://schemas.microsoft.com/office/drawing/2014/chart" uri="{C3380CC4-5D6E-409C-BE32-E72D297353CC}">
                <c16:uniqueId val="{00000001-3F3C-4B75-B05C-ED46FFC25805}"/>
              </c:ext>
            </c:extLst>
          </c:dPt>
          <c:dPt>
            <c:idx val="1"/>
            <c:bubble3D val="0"/>
            <c:spPr>
              <a:solidFill>
                <a:srgbClr val="2273B9"/>
              </a:solidFill>
              <a:ln>
                <a:solidFill>
                  <a:srgbClr val="FFFFFF"/>
                </a:solidFill>
              </a:ln>
            </c:spPr>
            <c:extLst>
              <c:ext xmlns:c16="http://schemas.microsoft.com/office/drawing/2014/chart" uri="{C3380CC4-5D6E-409C-BE32-E72D297353CC}">
                <c16:uniqueId val="{00000003-3F3C-4B75-B05C-ED46FFC25805}"/>
              </c:ext>
            </c:extLst>
          </c:dPt>
          <c:dPt>
            <c:idx val="2"/>
            <c:bubble3D val="0"/>
            <c:spPr>
              <a:solidFill>
                <a:srgbClr val="C1D119"/>
              </a:solidFill>
              <a:ln>
                <a:solidFill>
                  <a:srgbClr val="FFFFFF"/>
                </a:solidFill>
              </a:ln>
            </c:spPr>
            <c:extLst>
              <c:ext xmlns:c16="http://schemas.microsoft.com/office/drawing/2014/chart" uri="{C3380CC4-5D6E-409C-BE32-E72D297353CC}">
                <c16:uniqueId val="{00000005-3F3C-4B75-B05C-ED46FFC25805}"/>
              </c:ext>
            </c:extLst>
          </c:dPt>
          <c:dPt>
            <c:idx val="3"/>
            <c:bubble3D val="0"/>
            <c:spPr>
              <a:solidFill>
                <a:srgbClr val="0F9AA9"/>
              </a:solidFill>
              <a:ln>
                <a:solidFill>
                  <a:srgbClr val="FFFFFF"/>
                </a:solidFill>
              </a:ln>
            </c:spPr>
            <c:extLst>
              <c:ext xmlns:c16="http://schemas.microsoft.com/office/drawing/2014/chart" uri="{C3380CC4-5D6E-409C-BE32-E72D297353CC}">
                <c16:uniqueId val="{00000007-3F3C-4B75-B05C-ED46FFC25805}"/>
              </c:ext>
            </c:extLst>
          </c:dPt>
          <c:dPt>
            <c:idx val="4"/>
            <c:bubble3D val="0"/>
            <c:spPr>
              <a:solidFill>
                <a:srgbClr val="648C2E"/>
              </a:solidFill>
              <a:ln>
                <a:solidFill>
                  <a:srgbClr val="FFFFFF"/>
                </a:solidFill>
              </a:ln>
            </c:spPr>
            <c:extLst>
              <c:ext xmlns:c16="http://schemas.microsoft.com/office/drawing/2014/chart" uri="{C3380CC4-5D6E-409C-BE32-E72D297353CC}">
                <c16:uniqueId val="{00000009-3F3C-4B75-B05C-ED46FFC25805}"/>
              </c:ext>
            </c:extLst>
          </c:dPt>
          <c:dPt>
            <c:idx val="5"/>
            <c:bubble3D val="0"/>
            <c:spPr>
              <a:solidFill>
                <a:srgbClr val="55585A"/>
              </a:solidFill>
              <a:ln>
                <a:solidFill>
                  <a:srgbClr val="FFFFFF"/>
                </a:solidFill>
              </a:ln>
            </c:spPr>
            <c:extLst>
              <c:ext xmlns:c16="http://schemas.microsoft.com/office/drawing/2014/chart" uri="{C3380CC4-5D6E-409C-BE32-E72D297353CC}">
                <c16:uniqueId val="{0000000B-3F3C-4B75-B05C-ED46FFC25805}"/>
              </c:ext>
            </c:extLst>
          </c:dPt>
          <c:cat>
            <c:strRef>
              <c:f>'UK scallop dredge under 15m'!$B$77:$B$82</c:f>
              <c:strCache>
                <c:ptCount val="6"/>
                <c:pt idx="0">
                  <c:v>Cockles - 51.4%</c:v>
                </c:pt>
                <c:pt idx="1">
                  <c:v>Scallops - 37.1%</c:v>
                </c:pt>
                <c:pt idx="2">
                  <c:v>Queen Scallops - 3.7%</c:v>
                </c:pt>
                <c:pt idx="3">
                  <c:v>Sprats - 2.1%</c:v>
                </c:pt>
                <c:pt idx="4">
                  <c:v>Manilla Clam - 1.5%</c:v>
                </c:pt>
                <c:pt idx="5">
                  <c:v>Others - 4.2%</c:v>
                </c:pt>
              </c:strCache>
            </c:strRef>
          </c:cat>
          <c:val>
            <c:numRef>
              <c:f>'UK scallop dredge under 15m'!$C$77:$C$82</c:f>
              <c:numCache>
                <c:formatCode>0.0%</c:formatCode>
                <c:ptCount val="6"/>
                <c:pt idx="0">
                  <c:v>0.5138043914669902</c:v>
                </c:pt>
                <c:pt idx="1">
                  <c:v>0.37108659175814451</c:v>
                </c:pt>
                <c:pt idx="2">
                  <c:v>3.7250324305665446E-2</c:v>
                </c:pt>
                <c:pt idx="3">
                  <c:v>2.0975747319967368E-2</c:v>
                </c:pt>
                <c:pt idx="4">
                  <c:v>1.4572876156756063E-2</c:v>
                </c:pt>
                <c:pt idx="5">
                  <c:v>4.2310068992476468E-2</c:v>
                </c:pt>
              </c:numCache>
            </c:numRef>
          </c:val>
          <c:extLst>
            <c:ext xmlns:c16="http://schemas.microsoft.com/office/drawing/2014/chart" uri="{C3380CC4-5D6E-409C-BE32-E72D297353CC}">
              <c16:uniqueId val="{0000000C-3F3C-4B75-B05C-ED46FFC25805}"/>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under 15m'!$F$76</c:f>
          <c:strCache>
            <c:ptCount val="1"/>
            <c:pt idx="0">
              <c:v>Top 5 landed species by value in 2020
UK scallop dredge under 15m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5EF5-4750-8E18-87834BBE1166}"/>
              </c:ext>
            </c:extLst>
          </c:dPt>
          <c:dPt>
            <c:idx val="1"/>
            <c:bubble3D val="0"/>
            <c:spPr>
              <a:solidFill>
                <a:srgbClr val="E87308"/>
              </a:solidFill>
              <a:ln>
                <a:solidFill>
                  <a:srgbClr val="FFFFFF"/>
                </a:solidFill>
              </a:ln>
            </c:spPr>
            <c:extLst>
              <c:ext xmlns:c16="http://schemas.microsoft.com/office/drawing/2014/chart" uri="{C3380CC4-5D6E-409C-BE32-E72D297353CC}">
                <c16:uniqueId val="{00000003-5EF5-4750-8E18-87834BBE1166}"/>
              </c:ext>
            </c:extLst>
          </c:dPt>
          <c:dPt>
            <c:idx val="2"/>
            <c:bubble3D val="0"/>
            <c:spPr>
              <a:solidFill>
                <a:srgbClr val="648C2E"/>
              </a:solidFill>
              <a:ln>
                <a:solidFill>
                  <a:srgbClr val="FFFFFF"/>
                </a:solidFill>
              </a:ln>
            </c:spPr>
            <c:extLst>
              <c:ext xmlns:c16="http://schemas.microsoft.com/office/drawing/2014/chart" uri="{C3380CC4-5D6E-409C-BE32-E72D297353CC}">
                <c16:uniqueId val="{00000005-5EF5-4750-8E18-87834BBE1166}"/>
              </c:ext>
            </c:extLst>
          </c:dPt>
          <c:dPt>
            <c:idx val="3"/>
            <c:bubble3D val="0"/>
            <c:spPr>
              <a:solidFill>
                <a:srgbClr val="C1D119"/>
              </a:solidFill>
              <a:ln>
                <a:solidFill>
                  <a:srgbClr val="FFFFFF"/>
                </a:solidFill>
              </a:ln>
            </c:spPr>
            <c:extLst>
              <c:ext xmlns:c16="http://schemas.microsoft.com/office/drawing/2014/chart" uri="{C3380CC4-5D6E-409C-BE32-E72D297353CC}">
                <c16:uniqueId val="{00000007-5EF5-4750-8E18-87834BBE1166}"/>
              </c:ext>
            </c:extLst>
          </c:dPt>
          <c:dPt>
            <c:idx val="4"/>
            <c:bubble3D val="0"/>
            <c:spPr>
              <a:solidFill>
                <a:srgbClr val="E84A38"/>
              </a:solidFill>
              <a:ln>
                <a:solidFill>
                  <a:srgbClr val="FFFFFF"/>
                </a:solidFill>
              </a:ln>
            </c:spPr>
            <c:extLst>
              <c:ext xmlns:c16="http://schemas.microsoft.com/office/drawing/2014/chart" uri="{C3380CC4-5D6E-409C-BE32-E72D297353CC}">
                <c16:uniqueId val="{00000009-5EF5-4750-8E18-87834BBE1166}"/>
              </c:ext>
            </c:extLst>
          </c:dPt>
          <c:dPt>
            <c:idx val="5"/>
            <c:bubble3D val="0"/>
            <c:spPr>
              <a:solidFill>
                <a:srgbClr val="55585A"/>
              </a:solidFill>
              <a:ln>
                <a:solidFill>
                  <a:srgbClr val="FFFFFF"/>
                </a:solidFill>
              </a:ln>
            </c:spPr>
            <c:extLst>
              <c:ext xmlns:c16="http://schemas.microsoft.com/office/drawing/2014/chart" uri="{C3380CC4-5D6E-409C-BE32-E72D297353CC}">
                <c16:uniqueId val="{0000000B-5EF5-4750-8E18-87834BBE1166}"/>
              </c:ext>
            </c:extLst>
          </c:dPt>
          <c:cat>
            <c:strRef>
              <c:f>'UK scallop dredge under 15m'!$G$77:$G$82</c:f>
              <c:strCache>
                <c:ptCount val="6"/>
                <c:pt idx="0">
                  <c:v>Scallops - 52.2%</c:v>
                </c:pt>
                <c:pt idx="1">
                  <c:v>Cockles - 32.8%</c:v>
                </c:pt>
                <c:pt idx="2">
                  <c:v>Manilla Clam - 3.6%</c:v>
                </c:pt>
                <c:pt idx="3">
                  <c:v>Queen Scallops - 1.9%</c:v>
                </c:pt>
                <c:pt idx="4">
                  <c:v>Sole - 1.8%</c:v>
                </c:pt>
                <c:pt idx="5">
                  <c:v>Others - 7.7%</c:v>
                </c:pt>
              </c:strCache>
            </c:strRef>
          </c:cat>
          <c:val>
            <c:numRef>
              <c:f>'UK scallop dredge under 15m'!$H$77:$H$82</c:f>
              <c:numCache>
                <c:formatCode>0.0%</c:formatCode>
                <c:ptCount val="6"/>
                <c:pt idx="0">
                  <c:v>0.52163449693638897</c:v>
                </c:pt>
                <c:pt idx="1">
                  <c:v>0.32764554683002872</c:v>
                </c:pt>
                <c:pt idx="2">
                  <c:v>3.6272527548817053E-2</c:v>
                </c:pt>
                <c:pt idx="3">
                  <c:v>1.94232278573363E-2</c:v>
                </c:pt>
                <c:pt idx="4">
                  <c:v>1.8471922174806692E-2</c:v>
                </c:pt>
                <c:pt idx="5">
                  <c:v>7.6552278652622374E-2</c:v>
                </c:pt>
              </c:numCache>
            </c:numRef>
          </c:val>
          <c:extLst>
            <c:ext xmlns:c16="http://schemas.microsoft.com/office/drawing/2014/chart" uri="{C3380CC4-5D6E-409C-BE32-E72D297353CC}">
              <c16:uniqueId val="{0000000C-5EF5-4750-8E18-87834BBE1166}"/>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under 15m'!$K$77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'UK scallop dredge under 15m'!$C$92</c:f>
              <c:strCache>
                <c:ptCount val="1"/>
                <c:pt idx="0">
                  <c:v>Scallops</c:v>
                </c:pt>
              </c:strCache>
            </c:strRef>
          </c:tx>
          <c:spPr>
            <a:solidFill>
              <a:srgbClr val="2273B9"/>
            </a:solidFill>
            <a:ln>
              <a:solidFill>
                <a:srgbClr val="FFFFFF"/>
              </a:solidFill>
            </a:ln>
          </c:spPr>
          <c:invertIfNegative val="0"/>
          <c:cat>
            <c:numRef>
              <c:f>'UK scallop dredge under 15m'!$D$91:$M$91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under 15m'!$D$92:$M$92</c:f>
              <c:numCache>
                <c:formatCode>0%</c:formatCode>
                <c:ptCount val="10"/>
                <c:pt idx="0">
                  <c:v>0.78867670221226127</c:v>
                </c:pt>
                <c:pt idx="1">
                  <c:v>0.62817239922982482</c:v>
                </c:pt>
                <c:pt idx="2">
                  <c:v>0.58764601005496475</c:v>
                </c:pt>
                <c:pt idx="3">
                  <c:v>0.64152355260442473</c:v>
                </c:pt>
                <c:pt idx="4">
                  <c:v>0.74493555865772021</c:v>
                </c:pt>
                <c:pt idx="5">
                  <c:v>0.70645041176600065</c:v>
                </c:pt>
                <c:pt idx="6">
                  <c:v>0.6684537411584851</c:v>
                </c:pt>
                <c:pt idx="7">
                  <c:v>0.51563285791783164</c:v>
                </c:pt>
                <c:pt idx="8">
                  <c:v>0.52163449693638897</c:v>
                </c:pt>
                <c:pt idx="9">
                  <c:v>0.5242109358617022</c:v>
                </c:pt>
              </c:numCache>
            </c:numRef>
          </c:val>
          <c:extLst>
            <c:ext xmlns:c16="http://schemas.microsoft.com/office/drawing/2014/chart" uri="{C3380CC4-5D6E-409C-BE32-E72D297353CC}">
              <c16:uniqueId val="{00000000-A1DB-4C51-821B-A13BBB67AAB1}"/>
            </c:ext>
          </c:extLst>
        </c:ser>
        <c:ser>
          <c:idx val="1"/>
          <c:order val="1"/>
          <c:tx>
            <c:strRef>
              <c:f>'UK scallop dredge under 15m'!$C$93</c:f>
              <c:strCache>
                <c:ptCount val="1"/>
                <c:pt idx="0">
                  <c:v>Cockles</c:v>
                </c:pt>
              </c:strCache>
            </c:strRef>
          </c:tx>
          <c:spPr>
            <a:solidFill>
              <a:srgbClr val="E87308"/>
            </a:solidFill>
            <a:ln>
              <a:solidFill>
                <a:srgbClr val="FFFFFF"/>
              </a:solidFill>
            </a:ln>
          </c:spPr>
          <c:invertIfNegative val="0"/>
          <c:cat>
            <c:numRef>
              <c:f>'UK scallop dredge under 15m'!$D$91:$M$91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under 15m'!$D$93:$M$93</c:f>
              <c:numCache>
                <c:formatCode>0%</c:formatCode>
                <c:ptCount val="10"/>
                <c:pt idx="0">
                  <c:v>4.8471725446773438E-2</c:v>
                </c:pt>
                <c:pt idx="1">
                  <c:v>0.20863348629009296</c:v>
                </c:pt>
                <c:pt idx="2">
                  <c:v>0.30023936520980943</c:v>
                </c:pt>
                <c:pt idx="3">
                  <c:v>0.19686152009018201</c:v>
                </c:pt>
                <c:pt idx="4">
                  <c:v>0.12233488914876457</c:v>
                </c:pt>
                <c:pt idx="5">
                  <c:v>0.13547984459816786</c:v>
                </c:pt>
                <c:pt idx="6">
                  <c:v>0.19798146267145555</c:v>
                </c:pt>
                <c:pt idx="7">
                  <c:v>0.31624523803567939</c:v>
                </c:pt>
                <c:pt idx="8">
                  <c:v>0.32764554683002872</c:v>
                </c:pt>
                <c:pt idx="9">
                  <c:v>0.32368612966087285</c:v>
                </c:pt>
              </c:numCache>
            </c:numRef>
          </c:val>
          <c:extLst>
            <c:ext xmlns:c16="http://schemas.microsoft.com/office/drawing/2014/chart" uri="{C3380CC4-5D6E-409C-BE32-E72D297353CC}">
              <c16:uniqueId val="{00000001-A1DB-4C51-821B-A13BBB67AAB1}"/>
            </c:ext>
          </c:extLst>
        </c:ser>
        <c:ser>
          <c:idx val="2"/>
          <c:order val="2"/>
          <c:tx>
            <c:strRef>
              <c:f>'UK scallop dredge under 15m'!$C$94</c:f>
              <c:strCache>
                <c:ptCount val="1"/>
                <c:pt idx="0">
                  <c:v>Manilla Clam</c:v>
                </c:pt>
              </c:strCache>
            </c:strRef>
          </c:tx>
          <c:spPr>
            <a:solidFill>
              <a:srgbClr val="648C2E"/>
            </a:solidFill>
            <a:ln>
              <a:solidFill>
                <a:srgbClr val="FFFFFF"/>
              </a:solidFill>
            </a:ln>
          </c:spPr>
          <c:invertIfNegative val="0"/>
          <c:cat>
            <c:numRef>
              <c:f>'UK scallop dredge under 15m'!$D$91:$M$91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under 15m'!$D$94:$M$94</c:f>
              <c:numCache>
                <c:formatCode>0%</c:formatCode>
                <c:ptCount val="10"/>
                <c:pt idx="0">
                  <c:v>2.1093047312016645E-2</c:v>
                </c:pt>
                <c:pt idx="1">
                  <c:v>1.2119588158582566E-2</c:v>
                </c:pt>
                <c:pt idx="2">
                  <c:v>1.0334909089839974E-2</c:v>
                </c:pt>
                <c:pt idx="3">
                  <c:v>2.5785374445804594E-2</c:v>
                </c:pt>
                <c:pt idx="4">
                  <c:v>1.7788174974041282E-2</c:v>
                </c:pt>
                <c:pt idx="5">
                  <c:v>1.7076207856514494E-2</c:v>
                </c:pt>
                <c:pt idx="6">
                  <c:v>2.1108349993125816E-2</c:v>
                </c:pt>
                <c:pt idx="7">
                  <c:v>2.1000933911881431E-2</c:v>
                </c:pt>
                <c:pt idx="8">
                  <c:v>3.6272527548817053E-2</c:v>
                </c:pt>
                <c:pt idx="9">
                  <c:v>3.2504078673995775E-2</c:v>
                </c:pt>
              </c:numCache>
            </c:numRef>
          </c:val>
          <c:extLst>
            <c:ext xmlns:c16="http://schemas.microsoft.com/office/drawing/2014/chart" uri="{C3380CC4-5D6E-409C-BE32-E72D297353CC}">
              <c16:uniqueId val="{00000002-A1DB-4C51-821B-A13BBB67AAB1}"/>
            </c:ext>
          </c:extLst>
        </c:ser>
        <c:ser>
          <c:idx val="3"/>
          <c:order val="3"/>
          <c:tx>
            <c:strRef>
              <c:f>'UK scallop dredge under 15m'!$C$95</c:f>
              <c:strCache>
                <c:ptCount val="1"/>
                <c:pt idx="0">
                  <c:v>Queen Scallops</c:v>
                </c:pt>
              </c:strCache>
            </c:strRef>
          </c:tx>
          <c:spPr>
            <a:solidFill>
              <a:srgbClr val="C1D119"/>
            </a:solidFill>
            <a:ln>
              <a:solidFill>
                <a:srgbClr val="FFFFFF"/>
              </a:solidFill>
            </a:ln>
          </c:spPr>
          <c:invertIfNegative val="0"/>
          <c:cat>
            <c:numRef>
              <c:f>'UK scallop dredge under 15m'!$D$91:$M$91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under 15m'!$D$95:$M$95</c:f>
              <c:numCache>
                <c:formatCode>0%</c:formatCode>
                <c:ptCount val="10"/>
                <c:pt idx="0">
                  <c:v>5.365085951782942E-2</c:v>
                </c:pt>
                <c:pt idx="1">
                  <c:v>6.689289940242453E-2</c:v>
                </c:pt>
                <c:pt idx="2">
                  <c:v>3.5317946210666487E-2</c:v>
                </c:pt>
                <c:pt idx="3">
                  <c:v>4.1250719681486053E-2</c:v>
                </c:pt>
                <c:pt idx="4">
                  <c:v>4.1984327327435227E-2</c:v>
                </c:pt>
                <c:pt idx="5">
                  <c:v>3.9747335517461936E-2</c:v>
                </c:pt>
                <c:pt idx="6">
                  <c:v>2.4486952070146485E-2</c:v>
                </c:pt>
                <c:pt idx="8">
                  <c:v>1.94232278573363E-2</c:v>
                </c:pt>
              </c:numCache>
            </c:numRef>
          </c:val>
          <c:extLst>
            <c:ext xmlns:c16="http://schemas.microsoft.com/office/drawing/2014/chart" uri="{C3380CC4-5D6E-409C-BE32-E72D297353CC}">
              <c16:uniqueId val="{00000003-A1DB-4C51-821B-A13BBB67AAB1}"/>
            </c:ext>
          </c:extLst>
        </c:ser>
        <c:ser>
          <c:idx val="4"/>
          <c:order val="4"/>
          <c:tx>
            <c:strRef>
              <c:f>'UK scallop dredge under 15m'!$C$96</c:f>
              <c:strCache>
                <c:ptCount val="1"/>
                <c:pt idx="0">
                  <c:v>Sole</c:v>
                </c:pt>
              </c:strCache>
            </c:strRef>
          </c:tx>
          <c:spPr>
            <a:solidFill>
              <a:srgbClr val="E84A38"/>
            </a:solidFill>
            <a:ln>
              <a:solidFill>
                <a:srgbClr val="FFFFFF"/>
              </a:solidFill>
            </a:ln>
          </c:spPr>
          <c:invertIfNegative val="0"/>
          <c:cat>
            <c:numRef>
              <c:f>'UK scallop dredge under 15m'!$D$91:$M$91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under 15m'!$D$96:$M$96</c:f>
              <c:numCache>
                <c:formatCode>0%</c:formatCode>
                <c:ptCount val="10"/>
                <c:pt idx="1">
                  <c:v>1.0927562568264619E-2</c:v>
                </c:pt>
                <c:pt idx="7">
                  <c:v>2.2917875008696017E-2</c:v>
                </c:pt>
                <c:pt idx="8">
                  <c:v>1.8471922174806692E-2</c:v>
                </c:pt>
                <c:pt idx="9">
                  <c:v>2.6885355562425588E-2</c:v>
                </c:pt>
              </c:numCache>
            </c:numRef>
          </c:val>
          <c:extLst>
            <c:ext xmlns:c16="http://schemas.microsoft.com/office/drawing/2014/chart" uri="{C3380CC4-5D6E-409C-BE32-E72D297353CC}">
              <c16:uniqueId val="{00000004-A1DB-4C51-821B-A13BBB67AAB1}"/>
            </c:ext>
          </c:extLst>
        </c:ser>
        <c:ser>
          <c:idx val="5"/>
          <c:order val="5"/>
          <c:tx>
            <c:strRef>
              <c:f>'UK scallop dredge under 15m'!$C$97</c:f>
              <c:strCache>
                <c:ptCount val="1"/>
                <c:pt idx="0">
                  <c:v>Mussels</c:v>
                </c:pt>
              </c:strCache>
            </c:strRef>
          </c:tx>
          <c:spPr>
            <a:solidFill>
              <a:srgbClr val="0F9AA9"/>
            </a:solidFill>
            <a:ln>
              <a:solidFill>
                <a:srgbClr val="FFFFFF"/>
              </a:solidFill>
            </a:ln>
          </c:spPr>
          <c:invertIfNegative val="0"/>
          <c:cat>
            <c:numRef>
              <c:f>'UK scallop dredge under 15m'!$D$91:$M$91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under 15m'!$D$97:$M$97</c:f>
              <c:numCache>
                <c:formatCode>0%</c:formatCode>
                <c:ptCount val="10"/>
                <c:pt idx="3">
                  <c:v>2.7760692307386488E-2</c:v>
                </c:pt>
                <c:pt idx="7">
                  <c:v>2.4127922406505208E-2</c:v>
                </c:pt>
                <c:pt idx="9">
                  <c:v>2.0991675663013919E-2</c:v>
                </c:pt>
              </c:numCache>
            </c:numRef>
          </c:val>
          <c:extLst>
            <c:ext xmlns:c16="http://schemas.microsoft.com/office/drawing/2014/chart" uri="{C3380CC4-5D6E-409C-BE32-E72D297353CC}">
              <c16:uniqueId val="{00000005-A1DB-4C51-821B-A13BBB67AAB1}"/>
            </c:ext>
          </c:extLst>
        </c:ser>
        <c:ser>
          <c:idx val="6"/>
          <c:order val="6"/>
          <c:tx>
            <c:strRef>
              <c:f>'UK scallop dredge under 15m'!$C$98</c:f>
              <c:strCache>
                <c:ptCount val="1"/>
                <c:pt idx="0">
                  <c:v>Razor Clam</c:v>
                </c:pt>
              </c:strCache>
            </c:strRef>
          </c:tx>
          <c:spPr>
            <a:solidFill>
              <a:srgbClr val="FED825"/>
            </a:solidFill>
            <a:ln>
              <a:solidFill>
                <a:srgbClr val="FFFFFF"/>
              </a:solidFill>
            </a:ln>
          </c:spPr>
          <c:invertIfNegative val="0"/>
          <c:cat>
            <c:numRef>
              <c:f>'UK scallop dredge under 15m'!$D$91:$M$91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under 15m'!$D$98:$M$98</c:f>
              <c:numCache>
                <c:formatCode>0%</c:formatCode>
                <c:ptCount val="10"/>
                <c:pt idx="5">
                  <c:v>1.5519442079912564E-2</c:v>
                </c:pt>
                <c:pt idx="6">
                  <c:v>1.268155529860091E-2</c:v>
                </c:pt>
              </c:numCache>
            </c:numRef>
          </c:val>
          <c:extLst>
            <c:ext xmlns:c16="http://schemas.microsoft.com/office/drawing/2014/chart" uri="{C3380CC4-5D6E-409C-BE32-E72D297353CC}">
              <c16:uniqueId val="{00000006-A1DB-4C51-821B-A13BBB67AAB1}"/>
            </c:ext>
          </c:extLst>
        </c:ser>
        <c:ser>
          <c:idx val="7"/>
          <c:order val="7"/>
          <c:tx>
            <c:strRef>
              <c:f>'UK scallop dredge under 15m'!$C$99</c:f>
              <c:strCache>
                <c:ptCount val="1"/>
                <c:pt idx="0">
                  <c:v>Nephrops</c:v>
                </c:pt>
              </c:strCache>
            </c:strRef>
          </c:tx>
          <c:spPr>
            <a:solidFill>
              <a:srgbClr val="707271"/>
            </a:solidFill>
            <a:ln>
              <a:solidFill>
                <a:srgbClr val="FFFFFF"/>
              </a:solidFill>
            </a:ln>
          </c:spPr>
          <c:invertIfNegative val="0"/>
          <c:cat>
            <c:numRef>
              <c:f>'UK scallop dredge under 15m'!$D$91:$M$91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under 15m'!$D$99:$M$99</c:f>
              <c:numCache>
                <c:formatCode>0%</c:formatCode>
                <c:ptCount val="10"/>
                <c:pt idx="0">
                  <c:v>2.0845430011821271E-2</c:v>
                </c:pt>
                <c:pt idx="2">
                  <c:v>7.6106346343076245E-3</c:v>
                </c:pt>
                <c:pt idx="4">
                  <c:v>1.3414432075319161E-2</c:v>
                </c:pt>
              </c:numCache>
            </c:numRef>
          </c:val>
          <c:extLst>
            <c:ext xmlns:c16="http://schemas.microsoft.com/office/drawing/2014/chart" uri="{C3380CC4-5D6E-409C-BE32-E72D297353CC}">
              <c16:uniqueId val="{00000007-A1DB-4C51-821B-A13BBB67AAB1}"/>
            </c:ext>
          </c:extLst>
        </c:ser>
        <c:ser>
          <c:idx val="8"/>
          <c:order val="8"/>
          <c:tx>
            <c:strRef>
              <c:f>'UK scallop dredge under 15m'!$C$100</c:f>
              <c:strCache>
                <c:ptCount val="1"/>
                <c:pt idx="0">
                  <c:v>Others</c:v>
                </c:pt>
              </c:strCache>
            </c:strRef>
          </c:tx>
          <c:spPr>
            <a:solidFill>
              <a:srgbClr val="55585A"/>
            </a:solidFill>
            <a:ln>
              <a:solidFill>
                <a:srgbClr val="FFFFFF"/>
              </a:solidFill>
            </a:ln>
          </c:spPr>
          <c:invertIfNegative val="0"/>
          <c:cat>
            <c:numRef>
              <c:f>'UK scallop dredge under 15m'!$D$91:$M$91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'UK scallop dredge under 15m'!$D$100:$M$100</c:f>
              <c:numCache>
                <c:formatCode>0%</c:formatCode>
                <c:ptCount val="10"/>
                <c:pt idx="0">
                  <c:v>6.7262235499297995E-2</c:v>
                </c:pt>
                <c:pt idx="1">
                  <c:v>7.3254064350810527E-2</c:v>
                </c:pt>
                <c:pt idx="2">
                  <c:v>5.8851134800411785E-2</c:v>
                </c:pt>
                <c:pt idx="3">
                  <c:v>6.6818140870716108E-2</c:v>
                </c:pt>
                <c:pt idx="4">
                  <c:v>5.9542617816719517E-2</c:v>
                </c:pt>
                <c:pt idx="5">
                  <c:v>8.5726758181942517E-2</c:v>
                </c:pt>
                <c:pt idx="6">
                  <c:v>7.52879388081861E-2</c:v>
                </c:pt>
                <c:pt idx="7">
                  <c:v>0.10007517271940629</c:v>
                </c:pt>
                <c:pt idx="8">
                  <c:v>7.6552278652622305E-2</c:v>
                </c:pt>
                <c:pt idx="9">
                  <c:v>7.1721824577989687E-2</c:v>
                </c:pt>
              </c:numCache>
            </c:numRef>
          </c:val>
          <c:extLst>
            <c:ext xmlns:c16="http://schemas.microsoft.com/office/drawing/2014/chart" uri="{C3380CC4-5D6E-409C-BE32-E72D297353CC}">
              <c16:uniqueId val="{00000008-A1DB-4C51-821B-A13BBB67AAB1}"/>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'UK scallop dredge under 15m'!$B$162</c:f>
              <c:strCache>
                <c:ptCount val="1"/>
                <c:pt idx="0">
                  <c:v>Scallops</c:v>
                </c:pt>
              </c:strCache>
            </c:strRef>
          </c:tx>
          <c:spPr>
            <a:solidFill>
              <a:srgbClr val="2273B9"/>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15m'!$C$162:$E$162</c:f>
              <c:numCache>
                <c:formatCode>0%</c:formatCode>
                <c:ptCount val="3"/>
                <c:pt idx="0">
                  <c:v>4.9593553647966727E-2</c:v>
                </c:pt>
                <c:pt idx="1">
                  <c:v>0.71664583376497626</c:v>
                </c:pt>
                <c:pt idx="2">
                  <c:v>0.76070382314604101</c:v>
                </c:pt>
              </c:numCache>
            </c:numRef>
          </c:val>
          <c:extLst>
            <c:ext xmlns:c16="http://schemas.microsoft.com/office/drawing/2014/chart" uri="{C3380CC4-5D6E-409C-BE32-E72D297353CC}">
              <c16:uniqueId val="{00000000-4856-404E-B6FD-E9A05DF8F6CB}"/>
            </c:ext>
          </c:extLst>
        </c:ser>
        <c:ser>
          <c:idx val="1"/>
          <c:order val="1"/>
          <c:tx>
            <c:strRef>
              <c:f>'UK scallop dredge under 15m'!$B$163</c:f>
              <c:strCache>
                <c:ptCount val="1"/>
                <c:pt idx="0">
                  <c:v>Cockles</c:v>
                </c:pt>
              </c:strCache>
            </c:strRef>
          </c:tx>
          <c:spPr>
            <a:solidFill>
              <a:srgbClr val="E87308"/>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15m'!$C$163:$E$163</c:f>
              <c:numCache>
                <c:formatCode>0%</c:formatCode>
                <c:ptCount val="3"/>
                <c:pt idx="0">
                  <c:v>0.68391152646819231</c:v>
                </c:pt>
                <c:pt idx="1">
                  <c:v>7.5375670178500012E-2</c:v>
                </c:pt>
                <c:pt idx="2">
                  <c:v>0</c:v>
                </c:pt>
              </c:numCache>
            </c:numRef>
          </c:val>
          <c:extLst>
            <c:ext xmlns:c16="http://schemas.microsoft.com/office/drawing/2014/chart" uri="{C3380CC4-5D6E-409C-BE32-E72D297353CC}">
              <c16:uniqueId val="{00000001-4856-404E-B6FD-E9A05DF8F6CB}"/>
            </c:ext>
          </c:extLst>
        </c:ser>
        <c:ser>
          <c:idx val="2"/>
          <c:order val="2"/>
          <c:tx>
            <c:strRef>
              <c:f>'UK scallop dredge under 15m'!$B$164</c:f>
              <c:strCache>
                <c:ptCount val="1"/>
                <c:pt idx="0">
                  <c:v>Sprats</c:v>
                </c:pt>
              </c:strCache>
            </c:strRef>
          </c:tx>
          <c:spPr>
            <a:solidFill>
              <a:srgbClr val="0F9AA9"/>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15m'!$C$164:$E$164</c:f>
              <c:numCache>
                <c:formatCode>0%</c:formatCode>
                <c:ptCount val="3"/>
                <c:pt idx="0">
                  <c:v>0</c:v>
                </c:pt>
                <c:pt idx="1">
                  <c:v>5.9844337150126999E-2</c:v>
                </c:pt>
                <c:pt idx="2">
                  <c:v>0</c:v>
                </c:pt>
              </c:numCache>
            </c:numRef>
          </c:val>
          <c:extLst>
            <c:ext xmlns:c16="http://schemas.microsoft.com/office/drawing/2014/chart" uri="{C3380CC4-5D6E-409C-BE32-E72D297353CC}">
              <c16:uniqueId val="{00000002-4856-404E-B6FD-E9A05DF8F6CB}"/>
            </c:ext>
          </c:extLst>
        </c:ser>
        <c:ser>
          <c:idx val="3"/>
          <c:order val="3"/>
          <c:tx>
            <c:strRef>
              <c:f>'UK scallop dredge under 15m'!$B$165</c:f>
              <c:strCache>
                <c:ptCount val="1"/>
                <c:pt idx="0">
                  <c:v>Queen Scallops</c:v>
                </c:pt>
              </c:strCache>
            </c:strRef>
          </c:tx>
          <c:spPr>
            <a:solidFill>
              <a:srgbClr val="C1D119"/>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15m'!$C$165:$E$165</c:f>
              <c:numCache>
                <c:formatCode>0%</c:formatCode>
                <c:ptCount val="3"/>
                <c:pt idx="0">
                  <c:v>0</c:v>
                </c:pt>
                <c:pt idx="1">
                  <c:v>5.7547583289281487E-2</c:v>
                </c:pt>
                <c:pt idx="2">
                  <c:v>0.15361643650858361</c:v>
                </c:pt>
              </c:numCache>
            </c:numRef>
          </c:val>
          <c:extLst>
            <c:ext xmlns:c16="http://schemas.microsoft.com/office/drawing/2014/chart" uri="{C3380CC4-5D6E-409C-BE32-E72D297353CC}">
              <c16:uniqueId val="{00000003-4856-404E-B6FD-E9A05DF8F6CB}"/>
            </c:ext>
          </c:extLst>
        </c:ser>
        <c:ser>
          <c:idx val="4"/>
          <c:order val="4"/>
          <c:tx>
            <c:strRef>
              <c:f>'UK scallop dredge under 15m'!$B$166</c:f>
              <c:strCache>
                <c:ptCount val="1"/>
                <c:pt idx="0">
                  <c:v>Manilla Clam</c:v>
                </c:pt>
              </c:strCache>
            </c:strRef>
          </c:tx>
          <c:spPr>
            <a:solidFill>
              <a:srgbClr val="648C2E"/>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15m'!$C$166:$E$166</c:f>
              <c:numCache>
                <c:formatCode>0%</c:formatCode>
                <c:ptCount val="3"/>
                <c:pt idx="0">
                  <c:v>4.8098574870164548E-3</c:v>
                </c:pt>
                <c:pt idx="1">
                  <c:v>2.869521217952652E-2</c:v>
                </c:pt>
                <c:pt idx="2">
                  <c:v>0</c:v>
                </c:pt>
              </c:numCache>
            </c:numRef>
          </c:val>
          <c:extLst>
            <c:ext xmlns:c16="http://schemas.microsoft.com/office/drawing/2014/chart" uri="{C3380CC4-5D6E-409C-BE32-E72D297353CC}">
              <c16:uniqueId val="{00000004-4856-404E-B6FD-E9A05DF8F6CB}"/>
            </c:ext>
          </c:extLst>
        </c:ser>
        <c:ser>
          <c:idx val="5"/>
          <c:order val="5"/>
          <c:tx>
            <c:strRef>
              <c:f>'UK scallop dredge under 15m'!$B$167</c:f>
              <c:strCache>
                <c:ptCount val="1"/>
                <c:pt idx="0">
                  <c:v>Brown Shrimps</c:v>
                </c:pt>
              </c:strCache>
            </c:strRef>
          </c:tx>
          <c:spPr>
            <a:solidFill>
              <a:srgbClr val="707271"/>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15m'!$C$167:$E$167</c:f>
              <c:numCache>
                <c:formatCode>0%</c:formatCode>
                <c:ptCount val="3"/>
                <c:pt idx="0">
                  <c:v>0</c:v>
                </c:pt>
                <c:pt idx="1">
                  <c:v>0</c:v>
                </c:pt>
                <c:pt idx="2">
                  <c:v>2.2546583774860168E-2</c:v>
                </c:pt>
              </c:numCache>
            </c:numRef>
          </c:val>
          <c:extLst>
            <c:ext xmlns:c16="http://schemas.microsoft.com/office/drawing/2014/chart" uri="{C3380CC4-5D6E-409C-BE32-E72D297353CC}">
              <c16:uniqueId val="{00000005-4856-404E-B6FD-E9A05DF8F6CB}"/>
            </c:ext>
          </c:extLst>
        </c:ser>
        <c:ser>
          <c:idx val="6"/>
          <c:order val="6"/>
          <c:tx>
            <c:strRef>
              <c:f>'UK scallop dredge under 15m'!$B$168</c:f>
              <c:strCache>
                <c:ptCount val="1"/>
                <c:pt idx="0">
                  <c:v>Blonde Ray</c:v>
                </c:pt>
              </c:strCache>
            </c:strRef>
          </c:tx>
          <c:spPr>
            <a:solidFill>
              <a:srgbClr val="51AA81"/>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15m'!$C$168:$E$168</c:f>
              <c:numCache>
                <c:formatCode>0%</c:formatCode>
                <c:ptCount val="3"/>
                <c:pt idx="0">
                  <c:v>0</c:v>
                </c:pt>
                <c:pt idx="1">
                  <c:v>0</c:v>
                </c:pt>
                <c:pt idx="2">
                  <c:v>2.1081971044342399E-2</c:v>
                </c:pt>
              </c:numCache>
            </c:numRef>
          </c:val>
          <c:extLst>
            <c:ext xmlns:c16="http://schemas.microsoft.com/office/drawing/2014/chart" uri="{C3380CC4-5D6E-409C-BE32-E72D297353CC}">
              <c16:uniqueId val="{00000006-4856-404E-B6FD-E9A05DF8F6CB}"/>
            </c:ext>
          </c:extLst>
        </c:ser>
        <c:ser>
          <c:idx val="7"/>
          <c:order val="7"/>
          <c:tx>
            <c:strRef>
              <c:f>'UK scallop dredge under 15m'!$B$169</c:f>
              <c:strCache>
                <c:ptCount val="1"/>
                <c:pt idx="0">
                  <c:v>Cuttlefish</c:v>
                </c:pt>
              </c:strCache>
            </c:strRef>
          </c:tx>
          <c:spPr>
            <a:solidFill>
              <a:srgbClr val="FED825"/>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15m'!$C$169:$E$169</c:f>
              <c:numCache>
                <c:formatCode>0%</c:formatCode>
                <c:ptCount val="3"/>
                <c:pt idx="0">
                  <c:v>1.0231066596511154E-3</c:v>
                </c:pt>
                <c:pt idx="1">
                  <c:v>0</c:v>
                </c:pt>
                <c:pt idx="2">
                  <c:v>1.0543545108639897E-2</c:v>
                </c:pt>
              </c:numCache>
            </c:numRef>
          </c:val>
          <c:extLst>
            <c:ext xmlns:c16="http://schemas.microsoft.com/office/drawing/2014/chart" uri="{C3380CC4-5D6E-409C-BE32-E72D297353CC}">
              <c16:uniqueId val="{00000007-4856-404E-B6FD-E9A05DF8F6CB}"/>
            </c:ext>
          </c:extLst>
        </c:ser>
        <c:ser>
          <c:idx val="8"/>
          <c:order val="8"/>
          <c:tx>
            <c:strRef>
              <c:f>'UK scallop dredge under 15m'!$B$170</c:f>
              <c:strCache>
                <c:ptCount val="1"/>
                <c:pt idx="0">
                  <c:v>Razor Clam</c:v>
                </c:pt>
              </c:strCache>
            </c:strRef>
          </c:tx>
          <c:spPr>
            <a:solidFill>
              <a:srgbClr val="169FDB"/>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15m'!$C$170:$E$170</c:f>
              <c:numCache>
                <c:formatCode>0%</c:formatCode>
                <c:ptCount val="3"/>
                <c:pt idx="0">
                  <c:v>1.7804836104986814E-3</c:v>
                </c:pt>
                <c:pt idx="1">
                  <c:v>0</c:v>
                </c:pt>
                <c:pt idx="2">
                  <c:v>0</c:v>
                </c:pt>
              </c:numCache>
            </c:numRef>
          </c:val>
          <c:extLst>
            <c:ext xmlns:c16="http://schemas.microsoft.com/office/drawing/2014/chart" uri="{C3380CC4-5D6E-409C-BE32-E72D297353CC}">
              <c16:uniqueId val="{00000008-4856-404E-B6FD-E9A05DF8F6CB}"/>
            </c:ext>
          </c:extLst>
        </c:ser>
        <c:ser>
          <c:idx val="9"/>
          <c:order val="9"/>
          <c:tx>
            <c:strRef>
              <c:f>'UK scallop dredge under 15m'!$B$171</c:f>
              <c:strCache>
                <c:ptCount val="1"/>
                <c:pt idx="0">
                  <c:v>Others</c:v>
                </c:pt>
              </c:strCache>
            </c:strRef>
          </c:tx>
          <c:spPr>
            <a:solidFill>
              <a:srgbClr val="55585A"/>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15m'!$C$171:$E$171</c:f>
              <c:numCache>
                <c:formatCode>0%</c:formatCode>
                <c:ptCount val="3"/>
                <c:pt idx="0">
                  <c:v>0.25888147212667478</c:v>
                </c:pt>
                <c:pt idx="1">
                  <c:v>6.189136343758872E-2</c:v>
                </c:pt>
                <c:pt idx="2">
                  <c:v>3.1507640417532956E-2</c:v>
                </c:pt>
              </c:numCache>
            </c:numRef>
          </c:val>
          <c:extLst>
            <c:ext xmlns:c16="http://schemas.microsoft.com/office/drawing/2014/chart" uri="{C3380CC4-5D6E-409C-BE32-E72D297353CC}">
              <c16:uniqueId val="{00000009-4856-404E-B6FD-E9A05DF8F6CB}"/>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'UK scallop dredge under 15m'!$H$162</c:f>
              <c:strCache>
                <c:ptCount val="1"/>
                <c:pt idx="0">
                  <c:v>Scallops</c:v>
                </c:pt>
              </c:strCache>
            </c:strRef>
          </c:tx>
          <c:spPr>
            <a:solidFill>
              <a:srgbClr val="2273B9"/>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15m'!$I$162:$K$162</c:f>
              <c:numCache>
                <c:formatCode>0%</c:formatCode>
                <c:ptCount val="3"/>
                <c:pt idx="0">
                  <c:v>7.0531464428710833E-2</c:v>
                </c:pt>
                <c:pt idx="1">
                  <c:v>0.77749452826724363</c:v>
                </c:pt>
                <c:pt idx="2">
                  <c:v>0.81335843071415104</c:v>
                </c:pt>
              </c:numCache>
            </c:numRef>
          </c:val>
          <c:extLst>
            <c:ext xmlns:c16="http://schemas.microsoft.com/office/drawing/2014/chart" uri="{C3380CC4-5D6E-409C-BE32-E72D297353CC}">
              <c16:uniqueId val="{00000000-A055-4F50-A56A-DDF5B69A217E}"/>
            </c:ext>
          </c:extLst>
        </c:ser>
        <c:ser>
          <c:idx val="1"/>
          <c:order val="1"/>
          <c:tx>
            <c:strRef>
              <c:f>'UK scallop dredge under 15m'!$H$163</c:f>
              <c:strCache>
                <c:ptCount val="1"/>
                <c:pt idx="0">
                  <c:v>Manilla Clam</c:v>
                </c:pt>
              </c:strCache>
            </c:strRef>
          </c:tx>
          <c:spPr>
            <a:solidFill>
              <a:srgbClr val="648C2E"/>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15m'!$I$163:$K$163</c:f>
              <c:numCache>
                <c:formatCode>0%</c:formatCode>
                <c:ptCount val="3"/>
                <c:pt idx="0">
                  <c:v>1.2975605820800143E-2</c:v>
                </c:pt>
                <c:pt idx="1">
                  <c:v>5.2608596855208571E-2</c:v>
                </c:pt>
                <c:pt idx="2">
                  <c:v>1.7830730071901335E-2</c:v>
                </c:pt>
              </c:numCache>
            </c:numRef>
          </c:val>
          <c:extLst>
            <c:ext xmlns:c16="http://schemas.microsoft.com/office/drawing/2014/chart" uri="{C3380CC4-5D6E-409C-BE32-E72D297353CC}">
              <c16:uniqueId val="{00000001-A055-4F50-A56A-DDF5B69A217E}"/>
            </c:ext>
          </c:extLst>
        </c:ser>
        <c:ser>
          <c:idx val="2"/>
          <c:order val="2"/>
          <c:tx>
            <c:strRef>
              <c:f>'UK scallop dredge under 15m'!$H$164</c:f>
              <c:strCache>
                <c:ptCount val="1"/>
                <c:pt idx="0">
                  <c:v>Sole</c:v>
                </c:pt>
              </c:strCache>
            </c:strRef>
          </c:tx>
          <c:spPr>
            <a:solidFill>
              <a:srgbClr val="E84A38"/>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15m'!$I$164:$K$164</c:f>
              <c:numCache>
                <c:formatCode>0%</c:formatCode>
                <c:ptCount val="3"/>
                <c:pt idx="0">
                  <c:v>0</c:v>
                </c:pt>
                <c:pt idx="1">
                  <c:v>3.2502361105733159E-2</c:v>
                </c:pt>
                <c:pt idx="2">
                  <c:v>2.3530298585851102E-2</c:v>
                </c:pt>
              </c:numCache>
            </c:numRef>
          </c:val>
          <c:extLst>
            <c:ext xmlns:c16="http://schemas.microsoft.com/office/drawing/2014/chart" uri="{C3380CC4-5D6E-409C-BE32-E72D297353CC}">
              <c16:uniqueId val="{00000002-A055-4F50-A56A-DDF5B69A217E}"/>
            </c:ext>
          </c:extLst>
        </c:ser>
        <c:ser>
          <c:idx val="3"/>
          <c:order val="3"/>
          <c:tx>
            <c:strRef>
              <c:f>'UK scallop dredge under 15m'!$H$165</c:f>
              <c:strCache>
                <c:ptCount val="1"/>
                <c:pt idx="0">
                  <c:v>Cockles</c:v>
                </c:pt>
              </c:strCache>
            </c:strRef>
          </c:tx>
          <c:spPr>
            <a:solidFill>
              <a:srgbClr val="E87308"/>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15m'!$I$165:$K$165</c:f>
              <c:numCache>
                <c:formatCode>0%</c:formatCode>
                <c:ptCount val="3"/>
                <c:pt idx="0">
                  <c:v>0.41192918734741868</c:v>
                </c:pt>
                <c:pt idx="1">
                  <c:v>2.7391595355747873E-2</c:v>
                </c:pt>
                <c:pt idx="2">
                  <c:v>0</c:v>
                </c:pt>
              </c:numCache>
            </c:numRef>
          </c:val>
          <c:extLst>
            <c:ext xmlns:c16="http://schemas.microsoft.com/office/drawing/2014/chart" uri="{C3380CC4-5D6E-409C-BE32-E72D297353CC}">
              <c16:uniqueId val="{00000003-A055-4F50-A56A-DDF5B69A217E}"/>
            </c:ext>
          </c:extLst>
        </c:ser>
        <c:ser>
          <c:idx val="4"/>
          <c:order val="4"/>
          <c:tx>
            <c:strRef>
              <c:f>'UK scallop dredge under 15m'!$H$166</c:f>
              <c:strCache>
                <c:ptCount val="1"/>
                <c:pt idx="0">
                  <c:v>Cuttlefish</c:v>
                </c:pt>
              </c:strCache>
            </c:strRef>
          </c:tx>
          <c:spPr>
            <a:solidFill>
              <a:srgbClr val="FED825"/>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15m'!$I$166:$K$166</c:f>
              <c:numCache>
                <c:formatCode>0%</c:formatCode>
                <c:ptCount val="3"/>
                <c:pt idx="0">
                  <c:v>0</c:v>
                </c:pt>
                <c:pt idx="1">
                  <c:v>2.4430378778125886E-2</c:v>
                </c:pt>
                <c:pt idx="2">
                  <c:v>0</c:v>
                </c:pt>
              </c:numCache>
            </c:numRef>
          </c:val>
          <c:extLst>
            <c:ext xmlns:c16="http://schemas.microsoft.com/office/drawing/2014/chart" uri="{C3380CC4-5D6E-409C-BE32-E72D297353CC}">
              <c16:uniqueId val="{00000004-A055-4F50-A56A-DDF5B69A217E}"/>
            </c:ext>
          </c:extLst>
        </c:ser>
        <c:ser>
          <c:idx val="5"/>
          <c:order val="5"/>
          <c:tx>
            <c:strRef>
              <c:f>'UK scallop dredge under 15m'!$H$167</c:f>
              <c:strCache>
                <c:ptCount val="1"/>
                <c:pt idx="0">
                  <c:v>Queen Scallops</c:v>
                </c:pt>
              </c:strCache>
            </c:strRef>
          </c:tx>
          <c:spPr>
            <a:solidFill>
              <a:srgbClr val="C1D119"/>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15m'!$I$167:$K$167</c:f>
              <c:numCache>
                <c:formatCode>0%</c:formatCode>
                <c:ptCount val="3"/>
                <c:pt idx="0">
                  <c:v>0</c:v>
                </c:pt>
                <c:pt idx="1">
                  <c:v>0</c:v>
                </c:pt>
                <c:pt idx="2">
                  <c:v>6.2246121320741601E-2</c:v>
                </c:pt>
              </c:numCache>
            </c:numRef>
          </c:val>
          <c:extLst>
            <c:ext xmlns:c16="http://schemas.microsoft.com/office/drawing/2014/chart" uri="{C3380CC4-5D6E-409C-BE32-E72D297353CC}">
              <c16:uniqueId val="{00000005-A055-4F50-A56A-DDF5B69A217E}"/>
            </c:ext>
          </c:extLst>
        </c:ser>
        <c:ser>
          <c:idx val="6"/>
          <c:order val="6"/>
          <c:tx>
            <c:strRef>
              <c:f>'UK scallop dredge under 15m'!$H$168</c:f>
              <c:strCache>
                <c:ptCount val="1"/>
                <c:pt idx="0">
                  <c:v>Brown Shrimps</c:v>
                </c:pt>
              </c:strCache>
            </c:strRef>
          </c:tx>
          <c:spPr>
            <a:solidFill>
              <a:srgbClr val="707271"/>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15m'!$I$168:$K$168</c:f>
              <c:numCache>
                <c:formatCode>0%</c:formatCode>
                <c:ptCount val="3"/>
                <c:pt idx="0">
                  <c:v>0</c:v>
                </c:pt>
                <c:pt idx="1">
                  <c:v>0</c:v>
                </c:pt>
                <c:pt idx="2">
                  <c:v>3.083588404509462E-2</c:v>
                </c:pt>
              </c:numCache>
            </c:numRef>
          </c:val>
          <c:extLst>
            <c:ext xmlns:c16="http://schemas.microsoft.com/office/drawing/2014/chart" uri="{C3380CC4-5D6E-409C-BE32-E72D297353CC}">
              <c16:uniqueId val="{00000006-A055-4F50-A56A-DDF5B69A217E}"/>
            </c:ext>
          </c:extLst>
        </c:ser>
        <c:ser>
          <c:idx val="7"/>
          <c:order val="7"/>
          <c:tx>
            <c:strRef>
              <c:f>'UK scallop dredge under 15m'!$H$169</c:f>
              <c:strCache>
                <c:ptCount val="1"/>
                <c:pt idx="0">
                  <c:v>Razor Clam</c:v>
                </c:pt>
              </c:strCache>
            </c:strRef>
          </c:tx>
          <c:spPr>
            <a:solidFill>
              <a:srgbClr val="169FDB"/>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15m'!$I$169:$K$169</c:f>
              <c:numCache>
                <c:formatCode>0%</c:formatCode>
                <c:ptCount val="3"/>
                <c:pt idx="0">
                  <c:v>8.3702371145433409E-3</c:v>
                </c:pt>
                <c:pt idx="1">
                  <c:v>0</c:v>
                </c:pt>
                <c:pt idx="2">
                  <c:v>0</c:v>
                </c:pt>
              </c:numCache>
            </c:numRef>
          </c:val>
          <c:extLst>
            <c:ext xmlns:c16="http://schemas.microsoft.com/office/drawing/2014/chart" uri="{C3380CC4-5D6E-409C-BE32-E72D297353CC}">
              <c16:uniqueId val="{00000007-A055-4F50-A56A-DDF5B69A217E}"/>
            </c:ext>
          </c:extLst>
        </c:ser>
        <c:ser>
          <c:idx val="8"/>
          <c:order val="8"/>
          <c:tx>
            <c:strRef>
              <c:f>'UK scallop dredge under 15m'!$H$170</c:f>
              <c:strCache>
                <c:ptCount val="1"/>
                <c:pt idx="0">
                  <c:v>Mixed Clams</c:v>
                </c:pt>
              </c:strCache>
            </c:strRef>
          </c:tx>
          <c:spPr>
            <a:solidFill>
              <a:srgbClr val="E40D2C"/>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15m'!$I$170:$K$170</c:f>
              <c:numCache>
                <c:formatCode>0%</c:formatCode>
                <c:ptCount val="3"/>
                <c:pt idx="0">
                  <c:v>2.718373404122329E-3</c:v>
                </c:pt>
                <c:pt idx="1">
                  <c:v>0</c:v>
                </c:pt>
                <c:pt idx="2">
                  <c:v>0</c:v>
                </c:pt>
              </c:numCache>
            </c:numRef>
          </c:val>
          <c:extLst>
            <c:ext xmlns:c16="http://schemas.microsoft.com/office/drawing/2014/chart" uri="{C3380CC4-5D6E-409C-BE32-E72D297353CC}">
              <c16:uniqueId val="{00000008-A055-4F50-A56A-DDF5B69A217E}"/>
            </c:ext>
          </c:extLst>
        </c:ser>
        <c:ser>
          <c:idx val="9"/>
          <c:order val="9"/>
          <c:tx>
            <c:strRef>
              <c:f>'UK scallop dredge under 15m'!$H$171</c:f>
              <c:strCache>
                <c:ptCount val="1"/>
                <c:pt idx="0">
                  <c:v>Others</c:v>
                </c:pt>
              </c:strCache>
            </c:strRef>
          </c:tx>
          <c:spPr>
            <a:solidFill>
              <a:srgbClr val="55585A"/>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15m'!$I$171:$K$171</c:f>
              <c:numCache>
                <c:formatCode>0%</c:formatCode>
                <c:ptCount val="3"/>
                <c:pt idx="0">
                  <c:v>0.49347513188440473</c:v>
                </c:pt>
                <c:pt idx="1">
                  <c:v>8.557253963794087E-2</c:v>
                </c:pt>
                <c:pt idx="2">
                  <c:v>5.2198535262260259E-2</c:v>
                </c:pt>
              </c:numCache>
            </c:numRef>
          </c:val>
          <c:extLst>
            <c:ext xmlns:c16="http://schemas.microsoft.com/office/drawing/2014/chart" uri="{C3380CC4-5D6E-409C-BE32-E72D297353CC}">
              <c16:uniqueId val="{00000009-A055-4F50-A56A-DDF5B69A217E}"/>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'UK scallop dredge under 15m'!$K$139</c:f>
              <c:strCache>
                <c:ptCount val="1"/>
                <c:pt idx="0">
                  <c:v>Total income</c:v>
                </c:pt>
              </c:strCache>
            </c:strRef>
          </c:tx>
          <c:spPr>
            <a:solidFill>
              <a:srgbClr val="087CBB"/>
            </a:solidFill>
            <a:ln>
              <a:solidFill>
                <a:schemeClr val="accent1"/>
              </a:solidFill>
            </a:ln>
          </c:spPr>
          <c:invertIfNegative val="0"/>
          <c:cat>
            <c:strRef>
              <c:f>'UK scallop dredge under 15m'!$L$138:$N$138</c:f>
              <c:strCache>
                <c:ptCount val="3"/>
                <c:pt idx="0">
                  <c:v>Most
profitable
quartile</c:v>
                </c:pt>
                <c:pt idx="1">
                  <c:v>Middle
two quartiles</c:v>
                </c:pt>
                <c:pt idx="2">
                  <c:v>Least
profitable
quartile</c:v>
                </c:pt>
              </c:strCache>
            </c:strRef>
          </c:cat>
          <c:val>
            <c:numRef>
              <c:f>'UK scallop dredge under 15m'!$L$139:$N$139</c:f>
              <c:numCache>
                <c:formatCode>#,##0</c:formatCode>
                <c:ptCount val="3"/>
                <c:pt idx="0">
                  <c:v>376.00343750000002</c:v>
                </c:pt>
                <c:pt idx="1">
                  <c:v>157.53800279605301</c:v>
                </c:pt>
                <c:pt idx="2">
                  <c:v>60.579644531249997</c:v>
                </c:pt>
              </c:numCache>
            </c:numRef>
          </c:val>
          <c:extLst>
            <c:ext xmlns:c16="http://schemas.microsoft.com/office/drawing/2014/chart" uri="{C3380CC4-5D6E-409C-BE32-E72D297353CC}">
              <c16:uniqueId val="{00000000-F84E-4B5C-9440-66AA0CB933FB}"/>
            </c:ext>
          </c:extLst>
        </c:ser>
        <c:ser>
          <c:idx val="1"/>
          <c:order val="1"/>
          <c:tx>
            <c:strRef>
              <c:f>'UK scallop dredge under 15m'!$K$140</c:f>
              <c:strCache>
                <c:ptCount val="1"/>
                <c:pt idx="0">
                  <c:v>Operating costs</c:v>
                </c:pt>
              </c:strCache>
            </c:strRef>
          </c:tx>
          <c:spPr>
            <a:solidFill>
              <a:srgbClr val="E87308"/>
            </a:solidFill>
          </c:spPr>
          <c:invertIfNegative val="0"/>
          <c:cat>
            <c:strRef>
              <c:f>'UK scallop dredge under 15m'!$L$138:$N$138</c:f>
              <c:strCache>
                <c:ptCount val="3"/>
                <c:pt idx="0">
                  <c:v>Most
profitable
quartile</c:v>
                </c:pt>
                <c:pt idx="1">
                  <c:v>Middle
two quartiles</c:v>
                </c:pt>
                <c:pt idx="2">
                  <c:v>Least
profitable
quartile</c:v>
                </c:pt>
              </c:strCache>
            </c:strRef>
          </c:cat>
          <c:val>
            <c:numRef>
              <c:f>'UK scallop dredge under 15m'!$L$140:$N$140</c:f>
              <c:numCache>
                <c:formatCode>#,##0</c:formatCode>
                <c:ptCount val="3"/>
                <c:pt idx="0">
                  <c:v>283.48903124999998</c:v>
                </c:pt>
                <c:pt idx="1">
                  <c:v>143.269452796053</c:v>
                </c:pt>
                <c:pt idx="2">
                  <c:v>67.611515624999996</c:v>
                </c:pt>
              </c:numCache>
            </c:numRef>
          </c:val>
          <c:extLst>
            <c:ext xmlns:c16="http://schemas.microsoft.com/office/drawing/2014/chart" uri="{C3380CC4-5D6E-409C-BE32-E72D297353CC}">
              <c16:uniqueId val="{00000001-F84E-4B5C-9440-66AA0CB933FB}"/>
            </c:ext>
          </c:extLst>
        </c:ser>
        <c:ser>
          <c:idx val="2"/>
          <c:order val="2"/>
          <c:tx>
            <c:strRef>
              <c:f>'UK scallop dredge under 15m'!$K$141</c:f>
              <c:strCache>
                <c:ptCount val="1"/>
                <c:pt idx="0">
                  <c:v>Operating profit</c:v>
                </c:pt>
              </c:strCache>
            </c:strRef>
          </c:tx>
          <c:spPr>
            <a:solidFill>
              <a:srgbClr val="51AA81"/>
            </a:solidFill>
          </c:spPr>
          <c:invertIfNegative val="0"/>
          <c:cat>
            <c:strRef>
              <c:f>'UK scallop dredge under 15m'!$L$138:$N$138</c:f>
              <c:strCache>
                <c:ptCount val="3"/>
                <c:pt idx="0">
                  <c:v>Most
profitable
quartile</c:v>
                </c:pt>
                <c:pt idx="1">
                  <c:v>Middle
two quartiles</c:v>
                </c:pt>
                <c:pt idx="2">
                  <c:v>Least
profitable
quartile</c:v>
                </c:pt>
              </c:strCache>
            </c:strRef>
          </c:cat>
          <c:val>
            <c:numRef>
              <c:f>'UK scallop dredge under 15m'!$L$141:$N$141</c:f>
              <c:numCache>
                <c:formatCode>#,##0</c:formatCode>
                <c:ptCount val="3"/>
                <c:pt idx="0">
                  <c:v>92.514406249999993</c:v>
                </c:pt>
                <c:pt idx="1">
                  <c:v>14.268549999999999</c:v>
                </c:pt>
                <c:pt idx="2">
                  <c:v>-7.0318710937500004</c:v>
                </c:pt>
              </c:numCache>
            </c:numRef>
          </c:val>
          <c:extLst>
            <c:ext xmlns:c16="http://schemas.microsoft.com/office/drawing/2014/chart" uri="{C3380CC4-5D6E-409C-BE32-E72D297353CC}">
              <c16:uniqueId val="{00000002-F84E-4B5C-9440-66AA0CB933FB}"/>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'UK scallop dredge under 15m'!$K$142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trawl-seine'!$A$48</c:f>
          <c:strCache>
            <c:ptCount val="1"/>
            <c:pt idx="0">
              <c:v>Landings per kW day at sea (kg)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54C7-4B82-8CD4-5D6F6D50CDDB}"/>
              </c:ext>
            </c:extLst>
          </c:dPt>
          <c:dPt>
            <c:idx val="10"/>
            <c:bubble3D val="0"/>
            <c:spPr>
              <a:ln w="57150">
                <a:solidFill>
                  <a:srgbClr val="2273B9"/>
                </a:solidFill>
                <a:prstDash val="sysDot"/>
              </a:ln>
            </c:spPr>
            <c:extLst>
              <c:ext xmlns:c16="http://schemas.microsoft.com/office/drawing/2014/chart" uri="{C3380CC4-5D6E-409C-BE32-E72D297353CC}">
                <c16:uniqueId val="{00000003-54C7-4B82-8CD4-5D6F6D50CDDB}"/>
              </c:ext>
            </c:extLst>
          </c:dPt>
          <c:cat>
            <c:numRef>
              <c:f>'U10m demersal trawl-seine'!$D$2:$N$2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'U10m demersal trawl-seine'!$D$21:$N$21</c:f>
              <c:numCache>
                <c:formatCode>#,##0.00</c:formatCode>
                <c:ptCount val="11"/>
                <c:pt idx="0">
                  <c:v>2.2624377269129621</c:v>
                </c:pt>
                <c:pt idx="1">
                  <c:v>2.5515763696730422</c:v>
                </c:pt>
                <c:pt idx="2">
                  <c:v>2.6401861793854016</c:v>
                </c:pt>
                <c:pt idx="3">
                  <c:v>2.3070814747113699</c:v>
                </c:pt>
                <c:pt idx="4">
                  <c:v>2.179466537029489</c:v>
                </c:pt>
                <c:pt idx="5">
                  <c:v>2.3540929823775802</c:v>
                </c:pt>
                <c:pt idx="6">
                  <c:v>2.9226850497898358</c:v>
                </c:pt>
                <c:pt idx="7">
                  <c:v>2.5550928151024732</c:v>
                </c:pt>
                <c:pt idx="8">
                  <c:v>2.83985974444191</c:v>
                </c:pt>
                <c:pt idx="9">
                  <c:v>2.6325882517044672</c:v>
                </c:pt>
                <c:pt idx="10">
                  <c:v>2.9029954734484256</c:v>
                </c:pt>
              </c:numCache>
            </c:numRef>
          </c:val>
          <c:smooth val="0"/>
          <c:extLst>
            <c:ext xmlns:c16="http://schemas.microsoft.com/office/drawing/2014/chart" uri="{C3380CC4-5D6E-409C-BE32-E72D297353CC}">
              <c16:uniqueId val="{00000004-54C7-4B82-8CD4-5D6F6D50CDDB}"/>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u250kW'!$A$50</c:f>
          <c:strCache>
            <c:ptCount val="1"/>
            <c:pt idx="0">
              <c:v>Average price per tonne landed (£)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D120-419D-B2AC-61400984AE62}"/>
              </c:ext>
            </c:extLst>
          </c:dPt>
          <c:dPt>
            <c:idx val="10"/>
            <c:bubble3D val="0"/>
            <c:spPr>
              <a:ln w="57150">
                <a:solidFill>
                  <a:schemeClr val="accent4"/>
                </a:solidFill>
                <a:prstDash val="sysDot"/>
              </a:ln>
            </c:spPr>
            <c:extLst>
              <c:ext xmlns:c16="http://schemas.microsoft.com/office/drawing/2014/chart" uri="{C3380CC4-5D6E-409C-BE32-E72D297353CC}">
                <c16:uniqueId val="{00000003-D120-419D-B2AC-61400984AE62}"/>
              </c:ext>
            </c:extLst>
          </c:dPt>
          <c:cat>
            <c:numRef>
              <c:f>'Area VIIa nephrops u250kW'!$D$2:$M$2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u250kW'!$D$20:$N$20</c:f>
              <c:numCache>
                <c:formatCode>#,##0</c:formatCode>
                <c:ptCount val="11"/>
                <c:pt idx="0">
                  <c:v>2321</c:v>
                </c:pt>
                <c:pt idx="1">
                  <c:v>2419</c:v>
                </c:pt>
                <c:pt idx="2">
                  <c:v>2057</c:v>
                </c:pt>
                <c:pt idx="3">
                  <c:v>2313</c:v>
                </c:pt>
                <c:pt idx="4">
                  <c:v>2144</c:v>
                </c:pt>
                <c:pt idx="5">
                  <c:v>2311</c:v>
                </c:pt>
                <c:pt idx="6">
                  <c:v>2256</c:v>
                </c:pt>
                <c:pt idx="7">
                  <c:v>2352</c:v>
                </c:pt>
                <c:pt idx="8">
                  <c:v>2359</c:v>
                </c:pt>
                <c:pt idx="9">
                  <c:v>1762</c:v>
                </c:pt>
                <c:pt idx="10">
                  <c:v>1798</c:v>
                </c:pt>
              </c:numCache>
            </c:numRef>
          </c:val>
          <c:smooth val="0"/>
          <c:extLst>
            <c:ext xmlns:c16="http://schemas.microsoft.com/office/drawing/2014/chart" uri="{C3380CC4-5D6E-409C-BE32-E72D297353CC}">
              <c16:uniqueId val="{00000004-D120-419D-B2AC-61400984AE62}"/>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trawl-seine'!$A$49</c:f>
          <c:strCache>
            <c:ptCount val="1"/>
            <c:pt idx="0">
              <c:v>Fishing income per kW day at sea (£)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0334-4987-8BE0-ED91A9B886B4}"/>
              </c:ext>
            </c:extLst>
          </c:dPt>
          <c:dPt>
            <c:idx val="10"/>
            <c:bubble3D val="0"/>
            <c:spPr>
              <a:ln w="57150">
                <a:solidFill>
                  <a:srgbClr val="648C2E"/>
                </a:solidFill>
                <a:prstDash val="sysDot"/>
              </a:ln>
            </c:spPr>
            <c:extLst>
              <c:ext xmlns:c16="http://schemas.microsoft.com/office/drawing/2014/chart" uri="{C3380CC4-5D6E-409C-BE32-E72D297353CC}">
                <c16:uniqueId val="{00000003-0334-4987-8BE0-ED91A9B886B4}"/>
              </c:ext>
            </c:extLst>
          </c:dPt>
          <c:cat>
            <c:numRef>
              <c:f>'U10m demersal trawl-seine'!$D$2:$N$2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'U10m demersal trawl-seine'!$D$22:$N$22</c:f>
              <c:numCache>
                <c:formatCode>#,##0.00</c:formatCode>
                <c:ptCount val="11"/>
                <c:pt idx="0">
                  <c:v>6.6181017851364903</c:v>
                </c:pt>
                <c:pt idx="1">
                  <c:v>7.0097213771267599</c:v>
                </c:pt>
                <c:pt idx="2">
                  <c:v>6.4660578947303398</c:v>
                </c:pt>
                <c:pt idx="3">
                  <c:v>6.2658250175307399</c:v>
                </c:pt>
                <c:pt idx="4">
                  <c:v>5.6085471170518097</c:v>
                </c:pt>
                <c:pt idx="5">
                  <c:v>6.5337116100785497</c:v>
                </c:pt>
                <c:pt idx="6">
                  <c:v>8.1527636044504597</c:v>
                </c:pt>
                <c:pt idx="7">
                  <c:v>7.4012825671546896</c:v>
                </c:pt>
                <c:pt idx="8">
                  <c:v>7.8097815429061699</c:v>
                </c:pt>
                <c:pt idx="9">
                  <c:v>6.0396724624379301</c:v>
                </c:pt>
                <c:pt idx="10">
                  <c:v>7.0413964960093223</c:v>
                </c:pt>
              </c:numCache>
            </c:numRef>
          </c:val>
          <c:smooth val="0"/>
          <c:extLst>
            <c:ext xmlns:c16="http://schemas.microsoft.com/office/drawing/2014/chart" uri="{C3380CC4-5D6E-409C-BE32-E72D297353CC}">
              <c16:uniqueId val="{00000004-0334-4987-8BE0-ED91A9B886B4}"/>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trawl-seine'!$B$62</c:f>
          <c:strCache>
            <c:ptCount val="1"/>
            <c:pt idx="0">
              <c:v>Total cost per kW day at sea (£)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270B-45F4-9A46-2CAF8100355F}"/>
              </c:ext>
            </c:extLst>
          </c:dPt>
          <c:dPt>
            <c:idx val="10"/>
            <c:bubble3D val="0"/>
            <c:spPr>
              <a:ln w="57150">
                <a:solidFill>
                  <a:srgbClr val="087CBB"/>
                </a:solidFill>
                <a:prstDash val="sysDot"/>
              </a:ln>
            </c:spPr>
            <c:extLst>
              <c:ext xmlns:c16="http://schemas.microsoft.com/office/drawing/2014/chart" uri="{C3380CC4-5D6E-409C-BE32-E72D297353CC}">
                <c16:uniqueId val="{00000003-270B-45F4-9A46-2CAF8100355F}"/>
              </c:ext>
            </c:extLst>
          </c:dPt>
          <c:cat>
            <c:numRef>
              <c:f>'U10m demersal trawl-seine'!$D$2:$N$2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'U10m demersal trawl-seine'!$D$23:$N$23</c:f>
              <c:numCache>
                <c:formatCode>#,##0.00</c:formatCode>
                <c:ptCount val="11"/>
                <c:pt idx="0">
                  <c:v>5.4559536446773098</c:v>
                </c:pt>
                <c:pt idx="1">
                  <c:v>5.9261828100607801</c:v>
                </c:pt>
                <c:pt idx="2">
                  <c:v>5.3712742092625403</c:v>
                </c:pt>
                <c:pt idx="3">
                  <c:v>5.3467324752953296</c:v>
                </c:pt>
                <c:pt idx="4">
                  <c:v>4.5795897396760799</c:v>
                </c:pt>
                <c:pt idx="5">
                  <c:v>4.7439306043727703</c:v>
                </c:pt>
                <c:pt idx="6">
                  <c:v>5.7700003744795598</c:v>
                </c:pt>
                <c:pt idx="7">
                  <c:v>6.0647269759331</c:v>
                </c:pt>
                <c:pt idx="8">
                  <c:v>6.1663459428931402</c:v>
                </c:pt>
                <c:pt idx="9">
                  <c:v>4.68510363082307</c:v>
                </c:pt>
                <c:pt idx="10">
                  <c:v>5.1727405147605463</c:v>
                </c:pt>
              </c:numCache>
            </c:numRef>
          </c:val>
          <c:smooth val="0"/>
          <c:extLst>
            <c:ext xmlns:c16="http://schemas.microsoft.com/office/drawing/2014/chart" uri="{C3380CC4-5D6E-409C-BE32-E72D297353CC}">
              <c16:uniqueId val="{00000004-270B-45F4-9A46-2CAF8100355F}"/>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trawl-seine'!$K$48</c:f>
          <c:strCache>
            <c:ptCount val="1"/>
            <c:pt idx="0">
              <c:v>Operating profit per kW day at sea (£)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CC32-416D-AABB-D9CE6BFF2DB3}"/>
              </c:ext>
            </c:extLst>
          </c:dPt>
          <c:dPt>
            <c:idx val="10"/>
            <c:bubble3D val="0"/>
            <c:spPr>
              <a:ln w="57150">
                <a:solidFill>
                  <a:schemeClr val="accent3"/>
                </a:solidFill>
                <a:prstDash val="sysDot"/>
              </a:ln>
            </c:spPr>
            <c:extLst>
              <c:ext xmlns:c16="http://schemas.microsoft.com/office/drawing/2014/chart" uri="{C3380CC4-5D6E-409C-BE32-E72D297353CC}">
                <c16:uniqueId val="{00000003-CC32-416D-AABB-D9CE6BFF2DB3}"/>
              </c:ext>
            </c:extLst>
          </c:dPt>
          <c:cat>
            <c:numRef>
              <c:f>'U10m demersal trawl-seine'!$D$2:$N$2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'U10m demersal trawl-seine'!$D$24:$N$24</c:f>
              <c:numCache>
                <c:formatCode>#,##0.00</c:formatCode>
                <c:ptCount val="11"/>
                <c:pt idx="0">
                  <c:v>1.3363906556259</c:v>
                </c:pt>
                <c:pt idx="1">
                  <c:v>1.4175894624068801</c:v>
                </c:pt>
                <c:pt idx="2">
                  <c:v>1.5821975443683101</c:v>
                </c:pt>
                <c:pt idx="3">
                  <c:v>1.4312887997034101</c:v>
                </c:pt>
                <c:pt idx="4">
                  <c:v>1.1067327255294299</c:v>
                </c:pt>
                <c:pt idx="5">
                  <c:v>1.9668905585466001</c:v>
                </c:pt>
                <c:pt idx="6">
                  <c:v>2.5875626137105798</c:v>
                </c:pt>
                <c:pt idx="7">
                  <c:v>1.4851346270732699</c:v>
                </c:pt>
                <c:pt idx="8">
                  <c:v>1.8854548890554199</c:v>
                </c:pt>
                <c:pt idx="9">
                  <c:v>2.2216711586351998</c:v>
                </c:pt>
                <c:pt idx="10">
                  <c:v>2.0649030479053168</c:v>
                </c:pt>
              </c:numCache>
            </c:numRef>
          </c:val>
          <c:smooth val="0"/>
          <c:extLst>
            <c:ext xmlns:c16="http://schemas.microsoft.com/office/drawing/2014/chart" uri="{C3380CC4-5D6E-409C-BE32-E72D297353CC}">
              <c16:uniqueId val="{00000004-CC32-416D-AABB-D9CE6BFF2DB3}"/>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trawl-seine'!$A$50</c:f>
          <c:strCache>
            <c:ptCount val="1"/>
            <c:pt idx="0">
              <c:v>Average price per tonne landed (£)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5A17-4D7B-A73C-DDDD8D325E1D}"/>
              </c:ext>
            </c:extLst>
          </c:dPt>
          <c:dPt>
            <c:idx val="10"/>
            <c:bubble3D val="0"/>
            <c:spPr>
              <a:ln w="57150">
                <a:solidFill>
                  <a:schemeClr val="accent4"/>
                </a:solidFill>
                <a:prstDash val="sysDot"/>
              </a:ln>
            </c:spPr>
            <c:extLst>
              <c:ext xmlns:c16="http://schemas.microsoft.com/office/drawing/2014/chart" uri="{C3380CC4-5D6E-409C-BE32-E72D297353CC}">
                <c16:uniqueId val="{00000003-5A17-4D7B-A73C-DDDD8D325E1D}"/>
              </c:ext>
            </c:extLst>
          </c:dPt>
          <c:cat>
            <c:numRef>
              <c:f>'U10m demersal trawl-seine'!$D$2:$M$2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demersal trawl-seine'!$D$20:$N$20</c:f>
              <c:numCache>
                <c:formatCode>#,##0</c:formatCode>
                <c:ptCount val="11"/>
                <c:pt idx="0">
                  <c:v>2925</c:v>
                </c:pt>
                <c:pt idx="1">
                  <c:v>2747</c:v>
                </c:pt>
                <c:pt idx="2">
                  <c:v>2449</c:v>
                </c:pt>
                <c:pt idx="3">
                  <c:v>2716</c:v>
                </c:pt>
                <c:pt idx="4">
                  <c:v>2573</c:v>
                </c:pt>
                <c:pt idx="5">
                  <c:v>2775</c:v>
                </c:pt>
                <c:pt idx="6">
                  <c:v>2789</c:v>
                </c:pt>
                <c:pt idx="7">
                  <c:v>2897</c:v>
                </c:pt>
                <c:pt idx="8">
                  <c:v>2750</c:v>
                </c:pt>
                <c:pt idx="9">
                  <c:v>2294</c:v>
                </c:pt>
                <c:pt idx="10">
                  <c:v>2426</c:v>
                </c:pt>
              </c:numCache>
            </c:numRef>
          </c:val>
          <c:smooth val="0"/>
          <c:extLst>
            <c:ext xmlns:c16="http://schemas.microsoft.com/office/drawing/2014/chart" uri="{C3380CC4-5D6E-409C-BE32-E72D297353CC}">
              <c16:uniqueId val="{00000004-5A17-4D7B-A73C-DDDD8D325E1D}"/>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trawl-seine'!$K$62</c:f>
          <c:strCache>
            <c:ptCount val="1"/>
            <c:pt idx="0">
              <c:v>Average annual operating profit per vessel (£'000)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7BDD-4414-B541-964F1FC9D521}"/>
              </c:ext>
            </c:extLst>
          </c:dPt>
          <c:dPt>
            <c:idx val="10"/>
            <c:bubble3D val="0"/>
            <c:spPr>
              <a:ln w="57150">
                <a:solidFill>
                  <a:schemeClr val="accent5"/>
                </a:solidFill>
                <a:prstDash val="sysDot"/>
              </a:ln>
            </c:spPr>
            <c:extLst>
              <c:ext xmlns:c16="http://schemas.microsoft.com/office/drawing/2014/chart" uri="{C3380CC4-5D6E-409C-BE32-E72D297353CC}">
                <c16:uniqueId val="{00000003-7BDD-4414-B541-964F1FC9D521}"/>
              </c:ext>
            </c:extLst>
          </c:dPt>
          <c:cat>
            <c:numRef>
              <c:f>'U10m demersal trawl-seine'!$D$2:$M$2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demersal trawl-seine'!$D$37:$N$37</c:f>
              <c:numCache>
                <c:formatCode>#,##0.0</c:formatCode>
                <c:ptCount val="11"/>
                <c:pt idx="0">
                  <c:v>16.100000000000001</c:v>
                </c:pt>
                <c:pt idx="1">
                  <c:v>16.2</c:v>
                </c:pt>
                <c:pt idx="2">
                  <c:v>17.5</c:v>
                </c:pt>
                <c:pt idx="3">
                  <c:v>17.2</c:v>
                </c:pt>
                <c:pt idx="4">
                  <c:v>12.9</c:v>
                </c:pt>
                <c:pt idx="5">
                  <c:v>24.4</c:v>
                </c:pt>
                <c:pt idx="6">
                  <c:v>27.7</c:v>
                </c:pt>
                <c:pt idx="7">
                  <c:v>16.3</c:v>
                </c:pt>
                <c:pt idx="8">
                  <c:v>21.2</c:v>
                </c:pt>
                <c:pt idx="9">
                  <c:v>19</c:v>
                </c:pt>
                <c:pt idx="10">
                  <c:v>18.2</c:v>
                </c:pt>
              </c:numCache>
            </c:numRef>
          </c:val>
          <c:smooth val="0"/>
          <c:extLst>
            <c:ext xmlns:c16="http://schemas.microsoft.com/office/drawing/2014/chart" uri="{C3380CC4-5D6E-409C-BE32-E72D297353CC}">
              <c16:uniqueId val="{00000004-7BDD-4414-B541-964F1FC9D521}"/>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demersal trawl-seine'!$A$76</c:f>
          <c:strCache>
            <c:ptCount val="1"/>
            <c:pt idx="0">
              <c:v>Top 5 landed species by volume in 2020
Under 10m demersal trawl/seine</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061B-430C-8DA6-8F471E5B360A}"/>
              </c:ext>
            </c:extLst>
          </c:dPt>
          <c:dPt>
            <c:idx val="1"/>
            <c:bubble3D val="0"/>
            <c:spPr>
              <a:solidFill>
                <a:srgbClr val="C1D119"/>
              </a:solidFill>
              <a:ln>
                <a:solidFill>
                  <a:srgbClr val="FFFFFF"/>
                </a:solidFill>
              </a:ln>
            </c:spPr>
            <c:extLst>
              <c:ext xmlns:c16="http://schemas.microsoft.com/office/drawing/2014/chart" uri="{C3380CC4-5D6E-409C-BE32-E72D297353CC}">
                <c16:uniqueId val="{00000003-061B-430C-8DA6-8F471E5B360A}"/>
              </c:ext>
            </c:extLst>
          </c:dPt>
          <c:dPt>
            <c:idx val="2"/>
            <c:bubble3D val="0"/>
            <c:spPr>
              <a:solidFill>
                <a:srgbClr val="E84A38"/>
              </a:solidFill>
              <a:ln>
                <a:solidFill>
                  <a:srgbClr val="FFFFFF"/>
                </a:solidFill>
              </a:ln>
            </c:spPr>
            <c:extLst>
              <c:ext xmlns:c16="http://schemas.microsoft.com/office/drawing/2014/chart" uri="{C3380CC4-5D6E-409C-BE32-E72D297353CC}">
                <c16:uniqueId val="{00000005-061B-430C-8DA6-8F471E5B360A}"/>
              </c:ext>
            </c:extLst>
          </c:dPt>
          <c:dPt>
            <c:idx val="3"/>
            <c:bubble3D val="0"/>
            <c:spPr>
              <a:solidFill>
                <a:srgbClr val="648C2E"/>
              </a:solidFill>
              <a:ln>
                <a:solidFill>
                  <a:srgbClr val="FFFFFF"/>
                </a:solidFill>
              </a:ln>
            </c:spPr>
            <c:extLst>
              <c:ext xmlns:c16="http://schemas.microsoft.com/office/drawing/2014/chart" uri="{C3380CC4-5D6E-409C-BE32-E72D297353CC}">
                <c16:uniqueId val="{00000007-061B-430C-8DA6-8F471E5B360A}"/>
              </c:ext>
            </c:extLst>
          </c:dPt>
          <c:dPt>
            <c:idx val="4"/>
            <c:bubble3D val="0"/>
            <c:spPr>
              <a:solidFill>
                <a:srgbClr val="0F9AA9"/>
              </a:solidFill>
              <a:ln>
                <a:solidFill>
                  <a:srgbClr val="FFFFFF"/>
                </a:solidFill>
              </a:ln>
            </c:spPr>
            <c:extLst>
              <c:ext xmlns:c16="http://schemas.microsoft.com/office/drawing/2014/chart" uri="{C3380CC4-5D6E-409C-BE32-E72D297353CC}">
                <c16:uniqueId val="{00000009-061B-430C-8DA6-8F471E5B360A}"/>
              </c:ext>
            </c:extLst>
          </c:dPt>
          <c:dPt>
            <c:idx val="5"/>
            <c:bubble3D val="0"/>
            <c:spPr>
              <a:solidFill>
                <a:srgbClr val="55585A"/>
              </a:solidFill>
              <a:ln>
                <a:solidFill>
                  <a:srgbClr val="FFFFFF"/>
                </a:solidFill>
              </a:ln>
            </c:spPr>
            <c:extLst>
              <c:ext xmlns:c16="http://schemas.microsoft.com/office/drawing/2014/chart" uri="{C3380CC4-5D6E-409C-BE32-E72D297353CC}">
                <c16:uniqueId val="{0000000B-061B-430C-8DA6-8F471E5B360A}"/>
              </c:ext>
            </c:extLst>
          </c:dPt>
          <c:cat>
            <c:strRef>
              <c:f>'U10m demersal trawl-seine'!$B$77:$B$82</c:f>
              <c:strCache>
                <c:ptCount val="6"/>
                <c:pt idx="0">
                  <c:v>Nephrops - 35.9%</c:v>
                </c:pt>
                <c:pt idx="1">
                  <c:v>Scallops - 6.4%</c:v>
                </c:pt>
                <c:pt idx="2">
                  <c:v>Plaice - 5.6%</c:v>
                </c:pt>
                <c:pt idx="3">
                  <c:v>Squid - 5.3%</c:v>
                </c:pt>
                <c:pt idx="4">
                  <c:v>Les. Spot. Dog - 4.4%</c:v>
                </c:pt>
                <c:pt idx="5">
                  <c:v>Others - 42.5%</c:v>
                </c:pt>
              </c:strCache>
            </c:strRef>
          </c:cat>
          <c:val>
            <c:numRef>
              <c:f>'U10m demersal trawl-seine'!$C$77:$C$82</c:f>
              <c:numCache>
                <c:formatCode>0.0%</c:formatCode>
                <c:ptCount val="6"/>
                <c:pt idx="0">
                  <c:v>0.35871093396169546</c:v>
                </c:pt>
                <c:pt idx="1">
                  <c:v>6.3708852501649857E-2</c:v>
                </c:pt>
                <c:pt idx="2">
                  <c:v>5.5718184196747365E-2</c:v>
                </c:pt>
                <c:pt idx="3">
                  <c:v>5.2853198047372707E-2</c:v>
                </c:pt>
                <c:pt idx="4">
                  <c:v>4.4292479538095772E-2</c:v>
                </c:pt>
                <c:pt idx="5">
                  <c:v>0.42471635175443889</c:v>
                </c:pt>
              </c:numCache>
            </c:numRef>
          </c:val>
          <c:extLst>
            <c:ext xmlns:c16="http://schemas.microsoft.com/office/drawing/2014/chart" uri="{C3380CC4-5D6E-409C-BE32-E72D297353CC}">
              <c16:uniqueId val="{0000000C-061B-430C-8DA6-8F471E5B360A}"/>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demersal trawl-seine'!$F$76</c:f>
          <c:strCache>
            <c:ptCount val="1"/>
            <c:pt idx="0">
              <c:v>Top 5 landed species by value in 2020
Under 10m demersal trawl/seine</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87B4-414B-8DFD-3A8DB43EF9AB}"/>
              </c:ext>
            </c:extLst>
          </c:dPt>
          <c:dPt>
            <c:idx val="1"/>
            <c:bubble3D val="0"/>
            <c:spPr>
              <a:solidFill>
                <a:srgbClr val="E87308"/>
              </a:solidFill>
              <a:ln>
                <a:solidFill>
                  <a:srgbClr val="FFFFFF"/>
                </a:solidFill>
              </a:ln>
            </c:spPr>
            <c:extLst>
              <c:ext xmlns:c16="http://schemas.microsoft.com/office/drawing/2014/chart" uri="{C3380CC4-5D6E-409C-BE32-E72D297353CC}">
                <c16:uniqueId val="{00000003-87B4-414B-8DFD-3A8DB43EF9AB}"/>
              </c:ext>
            </c:extLst>
          </c:dPt>
          <c:dPt>
            <c:idx val="2"/>
            <c:bubble3D val="0"/>
            <c:spPr>
              <a:solidFill>
                <a:srgbClr val="648C2E"/>
              </a:solidFill>
              <a:ln>
                <a:solidFill>
                  <a:srgbClr val="FFFFFF"/>
                </a:solidFill>
              </a:ln>
            </c:spPr>
            <c:extLst>
              <c:ext xmlns:c16="http://schemas.microsoft.com/office/drawing/2014/chart" uri="{C3380CC4-5D6E-409C-BE32-E72D297353CC}">
                <c16:uniqueId val="{00000005-87B4-414B-8DFD-3A8DB43EF9AB}"/>
              </c:ext>
            </c:extLst>
          </c:dPt>
          <c:dPt>
            <c:idx val="3"/>
            <c:bubble3D val="0"/>
            <c:spPr>
              <a:solidFill>
                <a:srgbClr val="C1D119"/>
              </a:solidFill>
              <a:ln>
                <a:solidFill>
                  <a:srgbClr val="FFFFFF"/>
                </a:solidFill>
              </a:ln>
            </c:spPr>
            <c:extLst>
              <c:ext xmlns:c16="http://schemas.microsoft.com/office/drawing/2014/chart" uri="{C3380CC4-5D6E-409C-BE32-E72D297353CC}">
                <c16:uniqueId val="{00000007-87B4-414B-8DFD-3A8DB43EF9AB}"/>
              </c:ext>
            </c:extLst>
          </c:dPt>
          <c:dPt>
            <c:idx val="4"/>
            <c:bubble3D val="0"/>
            <c:spPr>
              <a:solidFill>
                <a:srgbClr val="E84A38"/>
              </a:solidFill>
              <a:ln>
                <a:solidFill>
                  <a:srgbClr val="FFFFFF"/>
                </a:solidFill>
              </a:ln>
            </c:spPr>
            <c:extLst>
              <c:ext xmlns:c16="http://schemas.microsoft.com/office/drawing/2014/chart" uri="{C3380CC4-5D6E-409C-BE32-E72D297353CC}">
                <c16:uniqueId val="{00000009-87B4-414B-8DFD-3A8DB43EF9AB}"/>
              </c:ext>
            </c:extLst>
          </c:dPt>
          <c:dPt>
            <c:idx val="5"/>
            <c:bubble3D val="0"/>
            <c:spPr>
              <a:solidFill>
                <a:srgbClr val="55585A"/>
              </a:solidFill>
              <a:ln>
                <a:solidFill>
                  <a:srgbClr val="FFFFFF"/>
                </a:solidFill>
              </a:ln>
            </c:spPr>
            <c:extLst>
              <c:ext xmlns:c16="http://schemas.microsoft.com/office/drawing/2014/chart" uri="{C3380CC4-5D6E-409C-BE32-E72D297353CC}">
                <c16:uniqueId val="{0000000B-87B4-414B-8DFD-3A8DB43EF9AB}"/>
              </c:ext>
            </c:extLst>
          </c:dPt>
          <c:cat>
            <c:strRef>
              <c:f>'U10m demersal trawl-seine'!$G$77:$G$82</c:f>
              <c:strCache>
                <c:ptCount val="6"/>
                <c:pt idx="0">
                  <c:v>Nephrops - 39.0%</c:v>
                </c:pt>
                <c:pt idx="1">
                  <c:v>Sole - 14.6%</c:v>
                </c:pt>
                <c:pt idx="2">
                  <c:v>Squid - 6.7%</c:v>
                </c:pt>
                <c:pt idx="3">
                  <c:v>Scallops - 6.2%</c:v>
                </c:pt>
                <c:pt idx="4">
                  <c:v>Plaice - 4.0%</c:v>
                </c:pt>
                <c:pt idx="5">
                  <c:v>Others - 29.6%</c:v>
                </c:pt>
              </c:strCache>
            </c:strRef>
          </c:cat>
          <c:val>
            <c:numRef>
              <c:f>'U10m demersal trawl-seine'!$H$77:$H$82</c:f>
              <c:numCache>
                <c:formatCode>0.0%</c:formatCode>
                <c:ptCount val="6"/>
                <c:pt idx="0">
                  <c:v>0.38952633746243759</c:v>
                </c:pt>
                <c:pt idx="1">
                  <c:v>0.14555412610225588</c:v>
                </c:pt>
                <c:pt idx="2">
                  <c:v>6.6826181229514309E-2</c:v>
                </c:pt>
                <c:pt idx="3">
                  <c:v>6.1748942534774288E-2</c:v>
                </c:pt>
                <c:pt idx="4">
                  <c:v>4.040801245261666E-2</c:v>
                </c:pt>
                <c:pt idx="5">
                  <c:v>0.29593640021840129</c:v>
                </c:pt>
              </c:numCache>
            </c:numRef>
          </c:val>
          <c:extLst>
            <c:ext xmlns:c16="http://schemas.microsoft.com/office/drawing/2014/chart" uri="{C3380CC4-5D6E-409C-BE32-E72D297353CC}">
              <c16:uniqueId val="{0000000C-87B4-414B-8DFD-3A8DB43EF9AB}"/>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demersal trawl-seine'!$K$77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'U10m demersal trawl-seine'!$C$92</c:f>
              <c:strCache>
                <c:ptCount val="1"/>
                <c:pt idx="0">
                  <c:v>Nephrops</c:v>
                </c:pt>
              </c:strCache>
            </c:strRef>
          </c:tx>
          <c:spPr>
            <a:solidFill>
              <a:srgbClr val="2273B9"/>
            </a:solidFill>
            <a:ln>
              <a:solidFill>
                <a:srgbClr val="FFFFFF"/>
              </a:solidFill>
            </a:ln>
          </c:spPr>
          <c:invertIfNegative val="0"/>
          <c:cat>
            <c:numRef>
              <c:f>'U10m demersal trawl-seine'!$D$91:$M$91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demersal trawl-seine'!$D$92:$M$92</c:f>
              <c:numCache>
                <c:formatCode>0%</c:formatCode>
                <c:ptCount val="10"/>
                <c:pt idx="0">
                  <c:v>0.47651576148383695</c:v>
                </c:pt>
                <c:pt idx="1">
                  <c:v>0.48030103423782949</c:v>
                </c:pt>
                <c:pt idx="2">
                  <c:v>0.5486506128302141</c:v>
                </c:pt>
                <c:pt idx="3">
                  <c:v>0.4757522666569558</c:v>
                </c:pt>
                <c:pt idx="4">
                  <c:v>0.50897410250597219</c:v>
                </c:pt>
                <c:pt idx="5">
                  <c:v>0.48086354719956342</c:v>
                </c:pt>
                <c:pt idx="6">
                  <c:v>0.49966774396386832</c:v>
                </c:pt>
                <c:pt idx="7">
                  <c:v>0.47447301304355155</c:v>
                </c:pt>
                <c:pt idx="8">
                  <c:v>0.38952633746243759</c:v>
                </c:pt>
                <c:pt idx="9">
                  <c:v>0.3962727410428904</c:v>
                </c:pt>
              </c:numCache>
            </c:numRef>
          </c:val>
          <c:extLst>
            <c:ext xmlns:c16="http://schemas.microsoft.com/office/drawing/2014/chart" uri="{C3380CC4-5D6E-409C-BE32-E72D297353CC}">
              <c16:uniqueId val="{00000000-6440-4F14-97BE-03A3F58D69FD}"/>
            </c:ext>
          </c:extLst>
        </c:ser>
        <c:ser>
          <c:idx val="1"/>
          <c:order val="1"/>
          <c:tx>
            <c:strRef>
              <c:f>'U10m demersal trawl-seine'!$C$93</c:f>
              <c:strCache>
                <c:ptCount val="1"/>
                <c:pt idx="0">
                  <c:v>Sole</c:v>
                </c:pt>
              </c:strCache>
            </c:strRef>
          </c:tx>
          <c:spPr>
            <a:solidFill>
              <a:srgbClr val="E87308"/>
            </a:solidFill>
            <a:ln>
              <a:solidFill>
                <a:srgbClr val="FFFFFF"/>
              </a:solidFill>
            </a:ln>
          </c:spPr>
          <c:invertIfNegative val="0"/>
          <c:cat>
            <c:numRef>
              <c:f>'U10m demersal trawl-seine'!$D$91:$M$91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demersal trawl-seine'!$D$93:$M$93</c:f>
              <c:numCache>
                <c:formatCode>0%</c:formatCode>
                <c:ptCount val="10"/>
                <c:pt idx="0">
                  <c:v>0.11757045271554849</c:v>
                </c:pt>
                <c:pt idx="1">
                  <c:v>0.12547485386848753</c:v>
                </c:pt>
                <c:pt idx="2">
                  <c:v>7.8621005651854023E-2</c:v>
                </c:pt>
                <c:pt idx="3">
                  <c:v>8.6353515762858699E-2</c:v>
                </c:pt>
                <c:pt idx="4">
                  <c:v>7.4292353263172253E-2</c:v>
                </c:pt>
                <c:pt idx="5">
                  <c:v>6.7167466000344872E-2</c:v>
                </c:pt>
                <c:pt idx="6">
                  <c:v>9.4021609751084437E-2</c:v>
                </c:pt>
                <c:pt idx="7">
                  <c:v>0.10187991914593829</c:v>
                </c:pt>
                <c:pt idx="8">
                  <c:v>0.14555412610225588</c:v>
                </c:pt>
                <c:pt idx="9">
                  <c:v>0.17948807750044413</c:v>
                </c:pt>
              </c:numCache>
            </c:numRef>
          </c:val>
          <c:extLst>
            <c:ext xmlns:c16="http://schemas.microsoft.com/office/drawing/2014/chart" uri="{C3380CC4-5D6E-409C-BE32-E72D297353CC}">
              <c16:uniqueId val="{00000001-6440-4F14-97BE-03A3F58D69FD}"/>
            </c:ext>
          </c:extLst>
        </c:ser>
        <c:ser>
          <c:idx val="2"/>
          <c:order val="2"/>
          <c:tx>
            <c:strRef>
              <c:f>'U10m demersal trawl-seine'!$C$94</c:f>
              <c:strCache>
                <c:ptCount val="1"/>
                <c:pt idx="0">
                  <c:v>Squid</c:v>
                </c:pt>
              </c:strCache>
            </c:strRef>
          </c:tx>
          <c:spPr>
            <a:solidFill>
              <a:srgbClr val="648C2E"/>
            </a:solidFill>
            <a:ln>
              <a:solidFill>
                <a:srgbClr val="FFFFFF"/>
              </a:solidFill>
            </a:ln>
          </c:spPr>
          <c:invertIfNegative val="0"/>
          <c:cat>
            <c:numRef>
              <c:f>'U10m demersal trawl-seine'!$D$91:$M$91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demersal trawl-seine'!$D$94:$M$94</c:f>
              <c:numCache>
                <c:formatCode>0%</c:formatCode>
                <c:ptCount val="10"/>
                <c:pt idx="1">
                  <c:v>4.2810390224912724E-2</c:v>
                </c:pt>
                <c:pt idx="2">
                  <c:v>5.148440264264894E-2</c:v>
                </c:pt>
                <c:pt idx="4">
                  <c:v>5.1310628454169657E-2</c:v>
                </c:pt>
                <c:pt idx="5">
                  <c:v>6.9365830866617142E-2</c:v>
                </c:pt>
                <c:pt idx="6">
                  <c:v>7.9636557777047465E-2</c:v>
                </c:pt>
                <c:pt idx="7">
                  <c:v>7.3451394282619861E-2</c:v>
                </c:pt>
                <c:pt idx="8">
                  <c:v>6.6826181229514309E-2</c:v>
                </c:pt>
                <c:pt idx="9">
                  <c:v>4.2772091051526302E-2</c:v>
                </c:pt>
              </c:numCache>
            </c:numRef>
          </c:val>
          <c:extLst>
            <c:ext xmlns:c16="http://schemas.microsoft.com/office/drawing/2014/chart" uri="{C3380CC4-5D6E-409C-BE32-E72D297353CC}">
              <c16:uniqueId val="{00000002-6440-4F14-97BE-03A3F58D69FD}"/>
            </c:ext>
          </c:extLst>
        </c:ser>
        <c:ser>
          <c:idx val="3"/>
          <c:order val="3"/>
          <c:tx>
            <c:strRef>
              <c:f>'U10m demersal trawl-seine'!$C$95</c:f>
              <c:strCache>
                <c:ptCount val="1"/>
                <c:pt idx="0">
                  <c:v>Scallops</c:v>
                </c:pt>
              </c:strCache>
            </c:strRef>
          </c:tx>
          <c:spPr>
            <a:solidFill>
              <a:srgbClr val="C1D119"/>
            </a:solidFill>
            <a:ln>
              <a:solidFill>
                <a:srgbClr val="FFFFFF"/>
              </a:solidFill>
            </a:ln>
          </c:spPr>
          <c:invertIfNegative val="0"/>
          <c:cat>
            <c:numRef>
              <c:f>'U10m demersal trawl-seine'!$D$91:$M$91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demersal trawl-seine'!$D$95:$M$95</c:f>
              <c:numCache>
                <c:formatCode>0%</c:formatCode>
                <c:ptCount val="10"/>
                <c:pt idx="0">
                  <c:v>6.7552289845660821E-2</c:v>
                </c:pt>
                <c:pt idx="1">
                  <c:v>4.8353042078686993E-2</c:v>
                </c:pt>
                <c:pt idx="2">
                  <c:v>4.5163162417323613E-2</c:v>
                </c:pt>
                <c:pt idx="3">
                  <c:v>5.7111106540407346E-2</c:v>
                </c:pt>
                <c:pt idx="5">
                  <c:v>4.810786048270458E-2</c:v>
                </c:pt>
                <c:pt idx="6">
                  <c:v>4.659161418200522E-2</c:v>
                </c:pt>
                <c:pt idx="8">
                  <c:v>6.1748942534774288E-2</c:v>
                </c:pt>
                <c:pt idx="9">
                  <c:v>5.4119807550200287E-2</c:v>
                </c:pt>
              </c:numCache>
            </c:numRef>
          </c:val>
          <c:extLst>
            <c:ext xmlns:c16="http://schemas.microsoft.com/office/drawing/2014/chart" uri="{C3380CC4-5D6E-409C-BE32-E72D297353CC}">
              <c16:uniqueId val="{00000003-6440-4F14-97BE-03A3F58D69FD}"/>
            </c:ext>
          </c:extLst>
        </c:ser>
        <c:ser>
          <c:idx val="4"/>
          <c:order val="4"/>
          <c:tx>
            <c:strRef>
              <c:f>'U10m demersal trawl-seine'!$C$96</c:f>
              <c:strCache>
                <c:ptCount val="1"/>
                <c:pt idx="0">
                  <c:v>Plaice</c:v>
                </c:pt>
              </c:strCache>
            </c:strRef>
          </c:tx>
          <c:spPr>
            <a:solidFill>
              <a:srgbClr val="E84A38"/>
            </a:solidFill>
            <a:ln>
              <a:solidFill>
                <a:srgbClr val="FFFFFF"/>
              </a:solidFill>
            </a:ln>
          </c:spPr>
          <c:invertIfNegative val="0"/>
          <c:cat>
            <c:numRef>
              <c:f>'U10m demersal trawl-seine'!$D$91:$M$91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demersal trawl-seine'!$D$96:$M$96</c:f>
              <c:numCache>
                <c:formatCode>0%</c:formatCode>
                <c:ptCount val="10"/>
                <c:pt idx="6">
                  <c:v>7.0211297906862605E-2</c:v>
                </c:pt>
                <c:pt idx="7">
                  <c:v>4.7485408262302464E-2</c:v>
                </c:pt>
                <c:pt idx="8">
                  <c:v>4.040801245261666E-2</c:v>
                </c:pt>
                <c:pt idx="9">
                  <c:v>3.9813263352162814E-2</c:v>
                </c:pt>
              </c:numCache>
            </c:numRef>
          </c:val>
          <c:extLst>
            <c:ext xmlns:c16="http://schemas.microsoft.com/office/drawing/2014/chart" uri="{C3380CC4-5D6E-409C-BE32-E72D297353CC}">
              <c16:uniqueId val="{00000004-6440-4F14-97BE-03A3F58D69FD}"/>
            </c:ext>
          </c:extLst>
        </c:ser>
        <c:ser>
          <c:idx val="5"/>
          <c:order val="5"/>
          <c:tx>
            <c:strRef>
              <c:f>'U10m demersal trawl-seine'!$C$97</c:f>
              <c:strCache>
                <c:ptCount val="1"/>
                <c:pt idx="0">
                  <c:v>Cuttlefish</c:v>
                </c:pt>
              </c:strCache>
            </c:strRef>
          </c:tx>
          <c:spPr>
            <a:solidFill>
              <a:srgbClr val="0F9AA9"/>
            </a:solidFill>
            <a:ln>
              <a:solidFill>
                <a:srgbClr val="FFFFFF"/>
              </a:solidFill>
            </a:ln>
          </c:spPr>
          <c:invertIfNegative val="0"/>
          <c:cat>
            <c:numRef>
              <c:f>'U10m demersal trawl-seine'!$D$91:$M$91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demersal trawl-seine'!$D$97:$M$97</c:f>
              <c:numCache>
                <c:formatCode>0%</c:formatCode>
                <c:ptCount val="10"/>
                <c:pt idx="3">
                  <c:v>4.2445331947735726E-2</c:v>
                </c:pt>
                <c:pt idx="4">
                  <c:v>4.5220728471012515E-2</c:v>
                </c:pt>
                <c:pt idx="5">
                  <c:v>9.9179590925353542E-2</c:v>
                </c:pt>
                <c:pt idx="7">
                  <c:v>5.2031658858822882E-2</c:v>
                </c:pt>
              </c:numCache>
            </c:numRef>
          </c:val>
          <c:extLst>
            <c:ext xmlns:c16="http://schemas.microsoft.com/office/drawing/2014/chart" uri="{C3380CC4-5D6E-409C-BE32-E72D297353CC}">
              <c16:uniqueId val="{00000005-6440-4F14-97BE-03A3F58D69FD}"/>
            </c:ext>
          </c:extLst>
        </c:ser>
        <c:ser>
          <c:idx val="6"/>
          <c:order val="6"/>
          <c:tx>
            <c:strRef>
              <c:f>'U10m demersal trawl-seine'!$C$98</c:f>
              <c:strCache>
                <c:ptCount val="1"/>
                <c:pt idx="0">
                  <c:v>Lemon Sole</c:v>
                </c:pt>
              </c:strCache>
            </c:strRef>
          </c:tx>
          <c:spPr>
            <a:solidFill>
              <a:srgbClr val="FED825"/>
            </a:solidFill>
            <a:ln>
              <a:solidFill>
                <a:srgbClr val="FFFFFF"/>
              </a:solidFill>
            </a:ln>
          </c:spPr>
          <c:invertIfNegative val="0"/>
          <c:cat>
            <c:numRef>
              <c:f>'U10m demersal trawl-seine'!$D$91:$M$91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demersal trawl-seine'!$D$98:$M$98</c:f>
              <c:numCache>
                <c:formatCode>0%</c:formatCode>
                <c:ptCount val="10"/>
                <c:pt idx="0">
                  <c:v>5.3448964192623585E-2</c:v>
                </c:pt>
                <c:pt idx="1">
                  <c:v>5.3553319840432288E-2</c:v>
                </c:pt>
                <c:pt idx="2">
                  <c:v>4.9089211866834154E-2</c:v>
                </c:pt>
                <c:pt idx="3">
                  <c:v>5.3638306423876875E-2</c:v>
                </c:pt>
                <c:pt idx="4">
                  <c:v>4.9198473645301104E-2</c:v>
                </c:pt>
              </c:numCache>
            </c:numRef>
          </c:val>
          <c:extLst>
            <c:ext xmlns:c16="http://schemas.microsoft.com/office/drawing/2014/chart" uri="{C3380CC4-5D6E-409C-BE32-E72D297353CC}">
              <c16:uniqueId val="{00000006-6440-4F14-97BE-03A3F58D69FD}"/>
            </c:ext>
          </c:extLst>
        </c:ser>
        <c:ser>
          <c:idx val="7"/>
          <c:order val="7"/>
          <c:tx>
            <c:strRef>
              <c:f>'U10m demersal trawl-seine'!$C$99</c:f>
              <c:strCache>
                <c:ptCount val="1"/>
                <c:pt idx="0">
                  <c:v>Bass</c:v>
                </c:pt>
              </c:strCache>
            </c:strRef>
          </c:tx>
          <c:spPr>
            <a:solidFill>
              <a:srgbClr val="707271"/>
            </a:solidFill>
            <a:ln>
              <a:solidFill>
                <a:srgbClr val="FFFFFF"/>
              </a:solidFill>
            </a:ln>
          </c:spPr>
          <c:invertIfNegative val="0"/>
          <c:cat>
            <c:numRef>
              <c:f>'U10m demersal trawl-seine'!$D$91:$M$91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demersal trawl-seine'!$D$99:$M$99</c:f>
              <c:numCache>
                <c:formatCode>0%</c:formatCode>
                <c:ptCount val="10"/>
                <c:pt idx="0">
                  <c:v>2.8362029990461474E-2</c:v>
                </c:pt>
              </c:numCache>
            </c:numRef>
          </c:val>
          <c:extLst>
            <c:ext xmlns:c16="http://schemas.microsoft.com/office/drawing/2014/chart" uri="{C3380CC4-5D6E-409C-BE32-E72D297353CC}">
              <c16:uniqueId val="{00000007-6440-4F14-97BE-03A3F58D69FD}"/>
            </c:ext>
          </c:extLst>
        </c:ser>
        <c:ser>
          <c:idx val="8"/>
          <c:order val="8"/>
          <c:tx>
            <c:strRef>
              <c:f>'U10m demersal trawl-seine'!$C$100</c:f>
              <c:strCache>
                <c:ptCount val="1"/>
                <c:pt idx="0">
                  <c:v>Others</c:v>
                </c:pt>
              </c:strCache>
            </c:strRef>
          </c:tx>
          <c:spPr>
            <a:solidFill>
              <a:srgbClr val="55585A"/>
            </a:solidFill>
            <a:ln>
              <a:solidFill>
                <a:srgbClr val="FFFFFF"/>
              </a:solidFill>
            </a:ln>
          </c:spPr>
          <c:invertIfNegative val="0"/>
          <c:cat>
            <c:numRef>
              <c:f>'U10m demersal trawl-seine'!$D$91:$M$91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demersal trawl-seine'!$D$100:$M$100</c:f>
              <c:numCache>
                <c:formatCode>0%</c:formatCode>
                <c:ptCount val="10"/>
                <c:pt idx="0">
                  <c:v>0.25655050177186867</c:v>
                </c:pt>
                <c:pt idx="1">
                  <c:v>0.24950735974965099</c:v>
                </c:pt>
                <c:pt idx="2">
                  <c:v>0.22699160459112513</c:v>
                </c:pt>
                <c:pt idx="3">
                  <c:v>0.28469947266816553</c:v>
                </c:pt>
                <c:pt idx="4">
                  <c:v>0.27100371366037224</c:v>
                </c:pt>
                <c:pt idx="5">
                  <c:v>0.23531570452541642</c:v>
                </c:pt>
                <c:pt idx="6">
                  <c:v>0.209871176419132</c:v>
                </c:pt>
                <c:pt idx="7">
                  <c:v>0.25067860640676498</c:v>
                </c:pt>
                <c:pt idx="8">
                  <c:v>0.29593640021840129</c:v>
                </c:pt>
                <c:pt idx="9">
                  <c:v>0.28753401950277607</c:v>
                </c:pt>
              </c:numCache>
            </c:numRef>
          </c:val>
          <c:extLst>
            <c:ext xmlns:c16="http://schemas.microsoft.com/office/drawing/2014/chart" uri="{C3380CC4-5D6E-409C-BE32-E72D297353CC}">
              <c16:uniqueId val="{00000008-6440-4F14-97BE-03A3F58D69FD}"/>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'U10m demersal trawl-seine'!$B$162</c:f>
              <c:strCache>
                <c:ptCount val="1"/>
                <c:pt idx="0">
                  <c:v>Nephrops</c:v>
                </c:pt>
              </c:strCache>
            </c:strRef>
          </c:tx>
          <c:spPr>
            <a:solidFill>
              <a:srgbClr val="2273B9"/>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trawl-seine'!$C$162:$E$162</c:f>
              <c:numCache>
                <c:formatCode>0%</c:formatCode>
                <c:ptCount val="3"/>
                <c:pt idx="0">
                  <c:v>0.12736187716513264</c:v>
                </c:pt>
                <c:pt idx="1">
                  <c:v>0.36944634376953794</c:v>
                </c:pt>
                <c:pt idx="2">
                  <c:v>0.57600596623113176</c:v>
                </c:pt>
              </c:numCache>
            </c:numRef>
          </c:val>
          <c:extLst>
            <c:ext xmlns:c16="http://schemas.microsoft.com/office/drawing/2014/chart" uri="{C3380CC4-5D6E-409C-BE32-E72D297353CC}">
              <c16:uniqueId val="{00000000-C0A1-43C0-96DE-C38DE9E5CC4E}"/>
            </c:ext>
          </c:extLst>
        </c:ser>
        <c:ser>
          <c:idx val="1"/>
          <c:order val="1"/>
          <c:tx>
            <c:strRef>
              <c:f>'U10m demersal trawl-seine'!$B$163</c:f>
              <c:strCache>
                <c:ptCount val="1"/>
                <c:pt idx="0">
                  <c:v>Scallops</c:v>
                </c:pt>
              </c:strCache>
            </c:strRef>
          </c:tx>
          <c:spPr>
            <a:solidFill>
              <a:srgbClr val="C1D119"/>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trawl-seine'!$C$163:$E$163</c:f>
              <c:numCache>
                <c:formatCode>0%</c:formatCode>
                <c:ptCount val="3"/>
                <c:pt idx="0">
                  <c:v>1.1589768522782486E-2</c:v>
                </c:pt>
                <c:pt idx="1">
                  <c:v>8.410042659051542E-2</c:v>
                </c:pt>
                <c:pt idx="2">
                  <c:v>8.0704253922796967E-2</c:v>
                </c:pt>
              </c:numCache>
            </c:numRef>
          </c:val>
          <c:extLst>
            <c:ext xmlns:c16="http://schemas.microsoft.com/office/drawing/2014/chart" uri="{C3380CC4-5D6E-409C-BE32-E72D297353CC}">
              <c16:uniqueId val="{00000001-C0A1-43C0-96DE-C38DE9E5CC4E}"/>
            </c:ext>
          </c:extLst>
        </c:ser>
        <c:ser>
          <c:idx val="2"/>
          <c:order val="2"/>
          <c:tx>
            <c:strRef>
              <c:f>'U10m demersal trawl-seine'!$B$164</c:f>
              <c:strCache>
                <c:ptCount val="1"/>
                <c:pt idx="0">
                  <c:v>Plaice</c:v>
                </c:pt>
              </c:strCache>
            </c:strRef>
          </c:tx>
          <c:spPr>
            <a:solidFill>
              <a:srgbClr val="E84A38"/>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trawl-seine'!$C$164:$E$164</c:f>
              <c:numCache>
                <c:formatCode>0%</c:formatCode>
                <c:ptCount val="3"/>
                <c:pt idx="0">
                  <c:v>0</c:v>
                </c:pt>
                <c:pt idx="1">
                  <c:v>8.2563985846390339E-2</c:v>
                </c:pt>
                <c:pt idx="2">
                  <c:v>5.2548290674780743E-2</c:v>
                </c:pt>
              </c:numCache>
            </c:numRef>
          </c:val>
          <c:extLst>
            <c:ext xmlns:c16="http://schemas.microsoft.com/office/drawing/2014/chart" uri="{C3380CC4-5D6E-409C-BE32-E72D297353CC}">
              <c16:uniqueId val="{00000002-C0A1-43C0-96DE-C38DE9E5CC4E}"/>
            </c:ext>
          </c:extLst>
        </c:ser>
        <c:ser>
          <c:idx val="3"/>
          <c:order val="3"/>
          <c:tx>
            <c:strRef>
              <c:f>'U10m demersal trawl-seine'!$B$165</c:f>
              <c:strCache>
                <c:ptCount val="1"/>
                <c:pt idx="0">
                  <c:v>Squid</c:v>
                </c:pt>
              </c:strCache>
            </c:strRef>
          </c:tx>
          <c:spPr>
            <a:solidFill>
              <a:srgbClr val="648C2E"/>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trawl-seine'!$C$165:$E$165</c:f>
              <c:numCache>
                <c:formatCode>0%</c:formatCode>
                <c:ptCount val="3"/>
                <c:pt idx="0">
                  <c:v>0</c:v>
                </c:pt>
                <c:pt idx="1">
                  <c:v>8.0959937075916574E-2</c:v>
                </c:pt>
                <c:pt idx="2">
                  <c:v>4.6120046536602829E-2</c:v>
                </c:pt>
              </c:numCache>
            </c:numRef>
          </c:val>
          <c:extLst>
            <c:ext xmlns:c16="http://schemas.microsoft.com/office/drawing/2014/chart" uri="{C3380CC4-5D6E-409C-BE32-E72D297353CC}">
              <c16:uniqueId val="{00000003-C0A1-43C0-96DE-C38DE9E5CC4E}"/>
            </c:ext>
          </c:extLst>
        </c:ser>
        <c:ser>
          <c:idx val="4"/>
          <c:order val="4"/>
          <c:tx>
            <c:strRef>
              <c:f>'U10m demersal trawl-seine'!$B$166</c:f>
              <c:strCache>
                <c:ptCount val="1"/>
                <c:pt idx="0">
                  <c:v>Cuttlefish</c:v>
                </c:pt>
              </c:strCache>
            </c:strRef>
          </c:tx>
          <c:spPr>
            <a:solidFill>
              <a:srgbClr val="FED825"/>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trawl-seine'!$C$166:$E$166</c:f>
              <c:numCache>
                <c:formatCode>0%</c:formatCode>
                <c:ptCount val="3"/>
                <c:pt idx="0">
                  <c:v>0</c:v>
                </c:pt>
                <c:pt idx="1">
                  <c:v>6.3975050047909821E-2</c:v>
                </c:pt>
                <c:pt idx="2">
                  <c:v>0</c:v>
                </c:pt>
              </c:numCache>
            </c:numRef>
          </c:val>
          <c:extLst>
            <c:ext xmlns:c16="http://schemas.microsoft.com/office/drawing/2014/chart" uri="{C3380CC4-5D6E-409C-BE32-E72D297353CC}">
              <c16:uniqueId val="{00000004-C0A1-43C0-96DE-C38DE9E5CC4E}"/>
            </c:ext>
          </c:extLst>
        </c:ser>
        <c:ser>
          <c:idx val="5"/>
          <c:order val="5"/>
          <c:tx>
            <c:strRef>
              <c:f>'U10m demersal trawl-seine'!$B$167</c:f>
              <c:strCache>
                <c:ptCount val="1"/>
                <c:pt idx="0">
                  <c:v>Les. Spot. Dog</c:v>
                </c:pt>
              </c:strCache>
            </c:strRef>
          </c:tx>
          <c:spPr>
            <a:solidFill>
              <a:srgbClr val="0F9AA9"/>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trawl-seine'!$C$167:$E$167</c:f>
              <c:numCache>
                <c:formatCode>0%</c:formatCode>
                <c:ptCount val="3"/>
                <c:pt idx="0">
                  <c:v>0</c:v>
                </c:pt>
                <c:pt idx="1">
                  <c:v>0</c:v>
                </c:pt>
                <c:pt idx="2">
                  <c:v>9.0758033530218954E-2</c:v>
                </c:pt>
              </c:numCache>
            </c:numRef>
          </c:val>
          <c:extLst>
            <c:ext xmlns:c16="http://schemas.microsoft.com/office/drawing/2014/chart" uri="{C3380CC4-5D6E-409C-BE32-E72D297353CC}">
              <c16:uniqueId val="{00000005-C0A1-43C0-96DE-C38DE9E5CC4E}"/>
            </c:ext>
          </c:extLst>
        </c:ser>
        <c:ser>
          <c:idx val="6"/>
          <c:order val="6"/>
          <c:tx>
            <c:strRef>
              <c:f>'U10m demersal trawl-seine'!$B$168</c:f>
              <c:strCache>
                <c:ptCount val="1"/>
                <c:pt idx="0">
                  <c:v>Thornback Ray</c:v>
                </c:pt>
              </c:strCache>
            </c:strRef>
          </c:tx>
          <c:spPr>
            <a:solidFill>
              <a:srgbClr val="707271"/>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trawl-seine'!$C$168:$E$168</c:f>
              <c:numCache>
                <c:formatCode>0%</c:formatCode>
                <c:ptCount val="3"/>
                <c:pt idx="0">
                  <c:v>1.294233989559827E-2</c:v>
                </c:pt>
                <c:pt idx="1">
                  <c:v>0</c:v>
                </c:pt>
                <c:pt idx="2">
                  <c:v>0</c:v>
                </c:pt>
              </c:numCache>
            </c:numRef>
          </c:val>
          <c:extLst>
            <c:ext xmlns:c16="http://schemas.microsoft.com/office/drawing/2014/chart" uri="{C3380CC4-5D6E-409C-BE32-E72D297353CC}">
              <c16:uniqueId val="{00000006-C0A1-43C0-96DE-C38DE9E5CC4E}"/>
            </c:ext>
          </c:extLst>
        </c:ser>
        <c:ser>
          <c:idx val="7"/>
          <c:order val="7"/>
          <c:tx>
            <c:strRef>
              <c:f>'U10m demersal trawl-seine'!$B$169</c:f>
              <c:strCache>
                <c:ptCount val="1"/>
                <c:pt idx="0">
                  <c:v>Sole</c:v>
                </c:pt>
              </c:strCache>
            </c:strRef>
          </c:tx>
          <c:spPr>
            <a:solidFill>
              <a:srgbClr val="E87308"/>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trawl-seine'!$C$169:$E$169</c:f>
              <c:numCache>
                <c:formatCode>0%</c:formatCode>
                <c:ptCount val="3"/>
                <c:pt idx="0">
                  <c:v>9.8825081308886245E-3</c:v>
                </c:pt>
                <c:pt idx="1">
                  <c:v>0</c:v>
                </c:pt>
                <c:pt idx="2">
                  <c:v>0</c:v>
                </c:pt>
              </c:numCache>
            </c:numRef>
          </c:val>
          <c:extLst>
            <c:ext xmlns:c16="http://schemas.microsoft.com/office/drawing/2014/chart" uri="{C3380CC4-5D6E-409C-BE32-E72D297353CC}">
              <c16:uniqueId val="{00000007-C0A1-43C0-96DE-C38DE9E5CC4E}"/>
            </c:ext>
          </c:extLst>
        </c:ser>
        <c:ser>
          <c:idx val="8"/>
          <c:order val="8"/>
          <c:tx>
            <c:strRef>
              <c:f>'U10m demersal trawl-seine'!$B$170</c:f>
              <c:strCache>
                <c:ptCount val="1"/>
                <c:pt idx="0">
                  <c:v>Queen Scallops</c:v>
                </c:pt>
              </c:strCache>
            </c:strRef>
          </c:tx>
          <c:spPr>
            <a:solidFill>
              <a:srgbClr val="51AA81"/>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trawl-seine'!$C$170:$E$170</c:f>
              <c:numCache>
                <c:formatCode>0%</c:formatCode>
                <c:ptCount val="3"/>
                <c:pt idx="0">
                  <c:v>8.676295324376233E-3</c:v>
                </c:pt>
                <c:pt idx="1">
                  <c:v>0</c:v>
                </c:pt>
                <c:pt idx="2">
                  <c:v>0</c:v>
                </c:pt>
              </c:numCache>
            </c:numRef>
          </c:val>
          <c:extLst>
            <c:ext xmlns:c16="http://schemas.microsoft.com/office/drawing/2014/chart" uri="{C3380CC4-5D6E-409C-BE32-E72D297353CC}">
              <c16:uniqueId val="{00000008-C0A1-43C0-96DE-C38DE9E5CC4E}"/>
            </c:ext>
          </c:extLst>
        </c:ser>
        <c:ser>
          <c:idx val="9"/>
          <c:order val="9"/>
          <c:tx>
            <c:strRef>
              <c:f>'U10m demersal trawl-seine'!$B$171</c:f>
              <c:strCache>
                <c:ptCount val="1"/>
                <c:pt idx="0">
                  <c:v>Others</c:v>
                </c:pt>
              </c:strCache>
            </c:strRef>
          </c:tx>
          <c:spPr>
            <a:solidFill>
              <a:srgbClr val="55585A"/>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trawl-seine'!$C$171:$E$171</c:f>
              <c:numCache>
                <c:formatCode>0%</c:formatCode>
                <c:ptCount val="3"/>
                <c:pt idx="0">
                  <c:v>0.82954721096122175</c:v>
                </c:pt>
                <c:pt idx="1">
                  <c:v>0.31895425666972999</c:v>
                </c:pt>
                <c:pt idx="2">
                  <c:v>0.15386340910446872</c:v>
                </c:pt>
              </c:numCache>
            </c:numRef>
          </c:val>
          <c:extLst>
            <c:ext xmlns:c16="http://schemas.microsoft.com/office/drawing/2014/chart" uri="{C3380CC4-5D6E-409C-BE32-E72D297353CC}">
              <c16:uniqueId val="{00000009-C0A1-43C0-96DE-C38DE9E5CC4E}"/>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'U10m demersal trawl-seine'!$H$162</c:f>
              <c:strCache>
                <c:ptCount val="1"/>
                <c:pt idx="0">
                  <c:v>Nephrops</c:v>
                </c:pt>
              </c:strCache>
            </c:strRef>
          </c:tx>
          <c:spPr>
            <a:solidFill>
              <a:srgbClr val="2273B9"/>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trawl-seine'!$I$162:$K$162</c:f>
              <c:numCache>
                <c:formatCode>0%</c:formatCode>
                <c:ptCount val="3"/>
                <c:pt idx="0">
                  <c:v>0.11101893458658635</c:v>
                </c:pt>
                <c:pt idx="1">
                  <c:v>0.35601221025287255</c:v>
                </c:pt>
                <c:pt idx="2">
                  <c:v>0.58444002744735135</c:v>
                </c:pt>
              </c:numCache>
            </c:numRef>
          </c:val>
          <c:extLst>
            <c:ext xmlns:c16="http://schemas.microsoft.com/office/drawing/2014/chart" uri="{C3380CC4-5D6E-409C-BE32-E72D297353CC}">
              <c16:uniqueId val="{00000000-0D35-4EE2-A4BA-45090E261623}"/>
            </c:ext>
          </c:extLst>
        </c:ser>
        <c:ser>
          <c:idx val="1"/>
          <c:order val="1"/>
          <c:tx>
            <c:strRef>
              <c:f>'U10m demersal trawl-seine'!$H$163</c:f>
              <c:strCache>
                <c:ptCount val="1"/>
                <c:pt idx="0">
                  <c:v>Sole</c:v>
                </c:pt>
              </c:strCache>
            </c:strRef>
          </c:tx>
          <c:spPr>
            <a:solidFill>
              <a:srgbClr val="E87308"/>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trawl-seine'!$I$163:$K$163</c:f>
              <c:numCache>
                <c:formatCode>0%</c:formatCode>
                <c:ptCount val="3"/>
                <c:pt idx="0">
                  <c:v>2.4653442324369092E-2</c:v>
                </c:pt>
                <c:pt idx="1">
                  <c:v>0.20726661408822819</c:v>
                </c:pt>
                <c:pt idx="2">
                  <c:v>3.5085288177948308E-2</c:v>
                </c:pt>
              </c:numCache>
            </c:numRef>
          </c:val>
          <c:extLst>
            <c:ext xmlns:c16="http://schemas.microsoft.com/office/drawing/2014/chart" uri="{C3380CC4-5D6E-409C-BE32-E72D297353CC}">
              <c16:uniqueId val="{00000001-0D35-4EE2-A4BA-45090E261623}"/>
            </c:ext>
          </c:extLst>
        </c:ser>
        <c:ser>
          <c:idx val="2"/>
          <c:order val="2"/>
          <c:tx>
            <c:strRef>
              <c:f>'U10m demersal trawl-seine'!$H$164</c:f>
              <c:strCache>
                <c:ptCount val="1"/>
                <c:pt idx="0">
                  <c:v>Squid</c:v>
                </c:pt>
              </c:strCache>
            </c:strRef>
          </c:tx>
          <c:spPr>
            <a:solidFill>
              <a:srgbClr val="648C2E"/>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trawl-seine'!$I$164:$K$164</c:f>
              <c:numCache>
                <c:formatCode>0%</c:formatCode>
                <c:ptCount val="3"/>
                <c:pt idx="0">
                  <c:v>4.6577803644450499E-3</c:v>
                </c:pt>
                <c:pt idx="1">
                  <c:v>9.3912215515443487E-2</c:v>
                </c:pt>
                <c:pt idx="2">
                  <c:v>4.8109032932809742E-2</c:v>
                </c:pt>
              </c:numCache>
            </c:numRef>
          </c:val>
          <c:extLst>
            <c:ext xmlns:c16="http://schemas.microsoft.com/office/drawing/2014/chart" uri="{C3380CC4-5D6E-409C-BE32-E72D297353CC}">
              <c16:uniqueId val="{00000002-0D35-4EE2-A4BA-45090E261623}"/>
            </c:ext>
          </c:extLst>
        </c:ser>
        <c:ser>
          <c:idx val="3"/>
          <c:order val="3"/>
          <c:tx>
            <c:strRef>
              <c:f>'U10m demersal trawl-seine'!$H$165</c:f>
              <c:strCache>
                <c:ptCount val="1"/>
                <c:pt idx="0">
                  <c:v>Scallops</c:v>
                </c:pt>
              </c:strCache>
            </c:strRef>
          </c:tx>
          <c:spPr>
            <a:solidFill>
              <a:srgbClr val="C1D119"/>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trawl-seine'!$I$165:$K$165</c:f>
              <c:numCache>
                <c:formatCode>0%</c:formatCode>
                <c:ptCount val="3"/>
                <c:pt idx="0">
                  <c:v>9.211473911014182E-3</c:v>
                </c:pt>
                <c:pt idx="1">
                  <c:v>7.1095068844071976E-2</c:v>
                </c:pt>
                <c:pt idx="2">
                  <c:v>7.7544058508936808E-2</c:v>
                </c:pt>
              </c:numCache>
            </c:numRef>
          </c:val>
          <c:extLst>
            <c:ext xmlns:c16="http://schemas.microsoft.com/office/drawing/2014/chart" uri="{C3380CC4-5D6E-409C-BE32-E72D297353CC}">
              <c16:uniqueId val="{00000003-0D35-4EE2-A4BA-45090E261623}"/>
            </c:ext>
          </c:extLst>
        </c:ser>
        <c:ser>
          <c:idx val="4"/>
          <c:order val="4"/>
          <c:tx>
            <c:strRef>
              <c:f>'U10m demersal trawl-seine'!$H$166</c:f>
              <c:strCache>
                <c:ptCount val="1"/>
                <c:pt idx="0">
                  <c:v>Plaice</c:v>
                </c:pt>
              </c:strCache>
            </c:strRef>
          </c:tx>
          <c:spPr>
            <a:solidFill>
              <a:srgbClr val="E84A38"/>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trawl-seine'!$I$166:$K$166</c:f>
              <c:numCache>
                <c:formatCode>0%</c:formatCode>
                <c:ptCount val="3"/>
                <c:pt idx="0">
                  <c:v>0</c:v>
                </c:pt>
                <c:pt idx="1">
                  <c:v>5.5632296644887634E-2</c:v>
                </c:pt>
                <c:pt idx="2">
                  <c:v>2.9032872018496258E-2</c:v>
                </c:pt>
              </c:numCache>
            </c:numRef>
          </c:val>
          <c:extLst>
            <c:ext xmlns:c16="http://schemas.microsoft.com/office/drawing/2014/chart" uri="{C3380CC4-5D6E-409C-BE32-E72D297353CC}">
              <c16:uniqueId val="{00000004-0D35-4EE2-A4BA-45090E261623}"/>
            </c:ext>
          </c:extLst>
        </c:ser>
        <c:ser>
          <c:idx val="5"/>
          <c:order val="5"/>
          <c:tx>
            <c:strRef>
              <c:f>'U10m demersal trawl-seine'!$H$167</c:f>
              <c:strCache>
                <c:ptCount val="1"/>
                <c:pt idx="0">
                  <c:v>Thornback Ray</c:v>
                </c:pt>
              </c:strCache>
            </c:strRef>
          </c:tx>
          <c:spPr>
            <a:solidFill>
              <a:srgbClr val="707271"/>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trawl-seine'!$I$167:$K$167</c:f>
              <c:numCache>
                <c:formatCode>0%</c:formatCode>
                <c:ptCount val="3"/>
                <c:pt idx="0">
                  <c:v>4.7845342792947254E-3</c:v>
                </c:pt>
                <c:pt idx="1">
                  <c:v>0</c:v>
                </c:pt>
                <c:pt idx="2">
                  <c:v>0</c:v>
                </c:pt>
              </c:numCache>
            </c:numRef>
          </c:val>
          <c:extLst>
            <c:ext xmlns:c16="http://schemas.microsoft.com/office/drawing/2014/chart" uri="{C3380CC4-5D6E-409C-BE32-E72D297353CC}">
              <c16:uniqueId val="{00000005-0D35-4EE2-A4BA-45090E261623}"/>
            </c:ext>
          </c:extLst>
        </c:ser>
        <c:ser>
          <c:idx val="6"/>
          <c:order val="6"/>
          <c:tx>
            <c:strRef>
              <c:f>'U10m demersal trawl-seine'!$H$168</c:f>
              <c:strCache>
                <c:ptCount val="1"/>
                <c:pt idx="0">
                  <c:v>Others</c:v>
                </c:pt>
              </c:strCache>
            </c:strRef>
          </c:tx>
          <c:spPr>
            <a:solidFill>
              <a:srgbClr val="55585A"/>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trawl-seine'!$I$168:$K$168</c:f>
              <c:numCache>
                <c:formatCode>0%</c:formatCode>
                <c:ptCount val="3"/>
                <c:pt idx="0">
                  <c:v>0.84567383453429057</c:v>
                </c:pt>
                <c:pt idx="1">
                  <c:v>0.21608159465449606</c:v>
                </c:pt>
                <c:pt idx="2">
                  <c:v>0.22578872091445745</c:v>
                </c:pt>
              </c:numCache>
            </c:numRef>
          </c:val>
          <c:extLst>
            <c:ext xmlns:c16="http://schemas.microsoft.com/office/drawing/2014/chart" uri="{C3380CC4-5D6E-409C-BE32-E72D297353CC}">
              <c16:uniqueId val="{00000006-0D35-4EE2-A4BA-45090E261623}"/>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trawl'!$B$62</c:f>
          <c:strCache>
            <c:ptCount val="1"/>
            <c:pt idx="0">
              <c:v>Total cost per kW day at sea (£)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785C-4BE2-BD64-7E1D43C1255F}"/>
              </c:ext>
            </c:extLst>
          </c:dPt>
          <c:dPt>
            <c:idx val="10"/>
            <c:bubble3D val="0"/>
            <c:spPr>
              <a:ln w="57150">
                <a:solidFill>
                  <a:srgbClr val="087CBB"/>
                </a:solidFill>
                <a:prstDash val="sysDot"/>
              </a:ln>
            </c:spPr>
            <c:extLst>
              <c:ext xmlns:c16="http://schemas.microsoft.com/office/drawing/2014/chart" uri="{C3380CC4-5D6E-409C-BE32-E72D297353CC}">
                <c16:uniqueId val="{00000003-785C-4BE2-BD64-7E1D43C1255F}"/>
              </c:ext>
            </c:extLst>
          </c:dPt>
          <c:cat>
            <c:numRef>
              <c:f>'Area VIIa demersal trawl'!$D$2:$N$2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'Area VIIa demersal trawl'!$D$23:$N$23</c:f>
              <c:numCache>
                <c:formatCode>#,##0.00</c:formatCode>
                <c:ptCount val="11"/>
                <c:pt idx="0">
                  <c:v>5.3239415165744903</c:v>
                </c:pt>
                <c:pt idx="1">
                  <c:v>7.5725956422569896</c:v>
                </c:pt>
                <c:pt idx="2">
                  <c:v>6.0151652455044999</c:v>
                </c:pt>
                <c:pt idx="3">
                  <c:v>6.9349847332263801</c:v>
                </c:pt>
                <c:pt idx="4">
                  <c:v>5.9071620486281704</c:v>
                </c:pt>
                <c:pt idx="5">
                  <c:v>6.1853594068082201</c:v>
                </c:pt>
                <c:pt idx="6">
                  <c:v>6.7637829156885401</c:v>
                </c:pt>
                <c:pt idx="7">
                  <c:v>7.2257233988438596</c:v>
                </c:pt>
                <c:pt idx="8">
                  <c:v>6.8422560570248097</c:v>
                </c:pt>
                <c:pt idx="9">
                  <c:v>4.8578114258197997</c:v>
                </c:pt>
                <c:pt idx="10">
                  <c:v>4.8512301254585548</c:v>
                </c:pt>
              </c:numCache>
            </c:numRef>
          </c:val>
          <c:smooth val="0"/>
          <c:extLst>
            <c:ext xmlns:c16="http://schemas.microsoft.com/office/drawing/2014/chart" uri="{C3380CC4-5D6E-409C-BE32-E72D297353CC}">
              <c16:uniqueId val="{00000004-785C-4BE2-BD64-7E1D43C1255F}"/>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u250kW'!$K$62</c:f>
          <c:strCache>
            <c:ptCount val="1"/>
            <c:pt idx="0">
              <c:v>Average annual operating profit per vessel (£'000)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4C2E-4497-BEFC-79B3AC04AB9D}"/>
              </c:ext>
            </c:extLst>
          </c:dPt>
          <c:dPt>
            <c:idx val="10"/>
            <c:bubble3D val="0"/>
            <c:spPr>
              <a:ln w="57150">
                <a:solidFill>
                  <a:schemeClr val="accent5"/>
                </a:solidFill>
                <a:prstDash val="sysDot"/>
              </a:ln>
            </c:spPr>
            <c:extLst>
              <c:ext xmlns:c16="http://schemas.microsoft.com/office/drawing/2014/chart" uri="{C3380CC4-5D6E-409C-BE32-E72D297353CC}">
                <c16:uniqueId val="{00000003-4C2E-4497-BEFC-79B3AC04AB9D}"/>
              </c:ext>
            </c:extLst>
          </c:dPt>
          <c:cat>
            <c:numRef>
              <c:f>'Area VIIa nephrops u250kW'!$D$2:$M$2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nephrops u250kW'!$D$37:$N$37</c:f>
              <c:numCache>
                <c:formatCode>#,##0.0</c:formatCode>
                <c:ptCount val="11"/>
                <c:pt idx="0">
                  <c:v>42.9</c:v>
                </c:pt>
                <c:pt idx="1">
                  <c:v>42.2</c:v>
                </c:pt>
                <c:pt idx="2">
                  <c:v>29.9</c:v>
                </c:pt>
                <c:pt idx="3">
                  <c:v>23.5</c:v>
                </c:pt>
                <c:pt idx="4">
                  <c:v>32.799999999999997</c:v>
                </c:pt>
                <c:pt idx="5">
                  <c:v>39.1</c:v>
                </c:pt>
                <c:pt idx="6">
                  <c:v>47.1</c:v>
                </c:pt>
                <c:pt idx="7">
                  <c:v>39.299999999999997</c:v>
                </c:pt>
                <c:pt idx="8">
                  <c:v>30.9</c:v>
                </c:pt>
                <c:pt idx="9">
                  <c:v>40.5</c:v>
                </c:pt>
                <c:pt idx="10">
                  <c:v>23.3</c:v>
                </c:pt>
              </c:numCache>
            </c:numRef>
          </c:val>
          <c:smooth val="0"/>
          <c:extLst>
            <c:ext xmlns:c16="http://schemas.microsoft.com/office/drawing/2014/chart" uri="{C3380CC4-5D6E-409C-BE32-E72D297353CC}">
              <c16:uniqueId val="{00000004-4C2E-4497-BEFC-79B3AC04AB9D}"/>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'U10m demersal trawl-seine'!$K$139</c:f>
              <c:strCache>
                <c:ptCount val="1"/>
                <c:pt idx="0">
                  <c:v>Total income</c:v>
                </c:pt>
              </c:strCache>
            </c:strRef>
          </c:tx>
          <c:spPr>
            <a:solidFill>
              <a:srgbClr val="087CBB"/>
            </a:solidFill>
            <a:ln>
              <a:solidFill>
                <a:schemeClr val="accent1"/>
              </a:solidFill>
            </a:ln>
          </c:spPr>
          <c:invertIfNegative val="0"/>
          <c:cat>
            <c:strRef>
              <c:f>'U10m demersal trawl-seine'!$L$138:$N$138</c:f>
              <c:strCache>
                <c:ptCount val="3"/>
                <c:pt idx="0">
                  <c:v>Most
profitable
quartile</c:v>
                </c:pt>
                <c:pt idx="1">
                  <c:v>Middle
two quartiles</c:v>
                </c:pt>
                <c:pt idx="2">
                  <c:v>Least
profitable
quartile</c:v>
                </c:pt>
              </c:strCache>
            </c:strRef>
          </c:cat>
          <c:val>
            <c:numRef>
              <c:f>'U10m demersal trawl-seine'!$L$139:$N$139</c:f>
              <c:numCache>
                <c:formatCode>#,##0</c:formatCode>
                <c:ptCount val="3"/>
                <c:pt idx="0">
                  <c:v>164.5331875</c:v>
                </c:pt>
                <c:pt idx="1">
                  <c:v>78.695486328125</c:v>
                </c:pt>
                <c:pt idx="2">
                  <c:v>39.502847656249997</c:v>
                </c:pt>
              </c:numCache>
            </c:numRef>
          </c:val>
          <c:extLst>
            <c:ext xmlns:c16="http://schemas.microsoft.com/office/drawing/2014/chart" uri="{C3380CC4-5D6E-409C-BE32-E72D297353CC}">
              <c16:uniqueId val="{00000000-BF6A-4BA5-97D9-16932119D9AF}"/>
            </c:ext>
          </c:extLst>
        </c:ser>
        <c:ser>
          <c:idx val="1"/>
          <c:order val="1"/>
          <c:tx>
            <c:strRef>
              <c:f>'U10m demersal trawl-seine'!$K$140</c:f>
              <c:strCache>
                <c:ptCount val="1"/>
                <c:pt idx="0">
                  <c:v>Operating costs</c:v>
                </c:pt>
              </c:strCache>
            </c:strRef>
          </c:tx>
          <c:spPr>
            <a:solidFill>
              <a:srgbClr val="E87308"/>
            </a:solidFill>
          </c:spPr>
          <c:invertIfNegative val="0"/>
          <c:cat>
            <c:strRef>
              <c:f>'U10m demersal trawl-seine'!$L$138:$N$138</c:f>
              <c:strCache>
                <c:ptCount val="3"/>
                <c:pt idx="0">
                  <c:v>Most
profitable
quartile</c:v>
                </c:pt>
                <c:pt idx="1">
                  <c:v>Middle
two quartiles</c:v>
                </c:pt>
                <c:pt idx="2">
                  <c:v>Least
profitable
quartile</c:v>
                </c:pt>
              </c:strCache>
            </c:strRef>
          </c:cat>
          <c:val>
            <c:numRef>
              <c:f>'U10m demersal trawl-seine'!$L$140:$N$140</c:f>
              <c:numCache>
                <c:formatCode>#,##0</c:formatCode>
                <c:ptCount val="3"/>
                <c:pt idx="0">
                  <c:v>118.48078906249999</c:v>
                </c:pt>
                <c:pt idx="1">
                  <c:v>61.550052734375001</c:v>
                </c:pt>
                <c:pt idx="2">
                  <c:v>35.27340234375</c:v>
                </c:pt>
              </c:numCache>
            </c:numRef>
          </c:val>
          <c:extLst>
            <c:ext xmlns:c16="http://schemas.microsoft.com/office/drawing/2014/chart" uri="{C3380CC4-5D6E-409C-BE32-E72D297353CC}">
              <c16:uniqueId val="{00000001-BF6A-4BA5-97D9-16932119D9AF}"/>
            </c:ext>
          </c:extLst>
        </c:ser>
        <c:ser>
          <c:idx val="2"/>
          <c:order val="2"/>
          <c:tx>
            <c:strRef>
              <c:f>'U10m demersal trawl-seine'!$K$141</c:f>
              <c:strCache>
                <c:ptCount val="1"/>
                <c:pt idx="0">
                  <c:v>Operating profit</c:v>
                </c:pt>
              </c:strCache>
            </c:strRef>
          </c:tx>
          <c:spPr>
            <a:solidFill>
              <a:srgbClr val="51AA81"/>
            </a:solidFill>
          </c:spPr>
          <c:invertIfNegative val="0"/>
          <c:cat>
            <c:strRef>
              <c:f>'U10m demersal trawl-seine'!$L$138:$N$138</c:f>
              <c:strCache>
                <c:ptCount val="3"/>
                <c:pt idx="0">
                  <c:v>Most
profitable
quartile</c:v>
                </c:pt>
                <c:pt idx="1">
                  <c:v>Middle
two quartiles</c:v>
                </c:pt>
                <c:pt idx="2">
                  <c:v>Least
profitable
quartile</c:v>
                </c:pt>
              </c:strCache>
            </c:strRef>
          </c:cat>
          <c:val>
            <c:numRef>
              <c:f>'U10m demersal trawl-seine'!$L$141:$N$141</c:f>
              <c:numCache>
                <c:formatCode>#,##0</c:formatCode>
                <c:ptCount val="3"/>
                <c:pt idx="0">
                  <c:v>46.052398437500003</c:v>
                </c:pt>
                <c:pt idx="1">
                  <c:v>17.145433593749999</c:v>
                </c:pt>
                <c:pt idx="2">
                  <c:v>4.2294453125000002</c:v>
                </c:pt>
              </c:numCache>
            </c:numRef>
          </c:val>
          <c:extLst>
            <c:ext xmlns:c16="http://schemas.microsoft.com/office/drawing/2014/chart" uri="{C3380CC4-5D6E-409C-BE32-E72D297353CC}">
              <c16:uniqueId val="{00000002-BF6A-4BA5-97D9-16932119D9AF}"/>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'U10m demersal trawl-seine'!$K$142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nets'!$A$48</c:f>
          <c:strCache>
            <c:ptCount val="1"/>
            <c:pt idx="0">
              <c:v>Landings per kW day at sea (kg)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F142-423C-A5CB-FC570BA67AE8}"/>
              </c:ext>
            </c:extLst>
          </c:dPt>
          <c:dPt>
            <c:idx val="10"/>
            <c:bubble3D val="0"/>
            <c:spPr>
              <a:ln w="57150">
                <a:solidFill>
                  <a:srgbClr val="2273B9"/>
                </a:solidFill>
                <a:prstDash val="sysDot"/>
              </a:ln>
            </c:spPr>
            <c:extLst>
              <c:ext xmlns:c16="http://schemas.microsoft.com/office/drawing/2014/chart" uri="{C3380CC4-5D6E-409C-BE32-E72D297353CC}">
                <c16:uniqueId val="{00000003-F142-423C-A5CB-FC570BA67AE8}"/>
              </c:ext>
            </c:extLst>
          </c:dPt>
          <c:cat>
            <c:numRef>
              <c:f>'U10m drift-fixed nets'!$D$2:$N$2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'U10m drift-fixed nets'!$D$21:$N$21</c:f>
              <c:numCache>
                <c:formatCode>#,##0.00</c:formatCode>
                <c:ptCount val="11"/>
                <c:pt idx="0">
                  <c:v>2.5747653644675843</c:v>
                </c:pt>
                <c:pt idx="1">
                  <c:v>2.4833358819718883</c:v>
                </c:pt>
                <c:pt idx="2">
                  <c:v>2.6762825742437659</c:v>
                </c:pt>
                <c:pt idx="3">
                  <c:v>2.5586458683301396</c:v>
                </c:pt>
                <c:pt idx="4">
                  <c:v>2.3211940517843908</c:v>
                </c:pt>
                <c:pt idx="5">
                  <c:v>2.600185638249632</c:v>
                </c:pt>
                <c:pt idx="6">
                  <c:v>2.5262490679817096</c:v>
                </c:pt>
                <c:pt idx="7">
                  <c:v>2.5689231296350865</c:v>
                </c:pt>
                <c:pt idx="8">
                  <c:v>2.6046803593253252</c:v>
                </c:pt>
                <c:pt idx="9">
                  <c:v>3.7220953638239056</c:v>
                </c:pt>
                <c:pt idx="10">
                  <c:v>2.5461466394942405</c:v>
                </c:pt>
              </c:numCache>
            </c:numRef>
          </c:val>
          <c:smooth val="0"/>
          <c:extLst>
            <c:ext xmlns:c16="http://schemas.microsoft.com/office/drawing/2014/chart" uri="{C3380CC4-5D6E-409C-BE32-E72D297353CC}">
              <c16:uniqueId val="{00000004-F142-423C-A5CB-FC570BA67AE8}"/>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nets'!$A$49</c:f>
          <c:strCache>
            <c:ptCount val="1"/>
            <c:pt idx="0">
              <c:v>Fishing income per kW day at sea (£)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F4CB-41E5-BC3D-DBCB2D2F14F0}"/>
              </c:ext>
            </c:extLst>
          </c:dPt>
          <c:dPt>
            <c:idx val="10"/>
            <c:bubble3D val="0"/>
            <c:spPr>
              <a:ln w="57150">
                <a:solidFill>
                  <a:srgbClr val="648C2E"/>
                </a:solidFill>
                <a:prstDash val="sysDot"/>
              </a:ln>
            </c:spPr>
            <c:extLst>
              <c:ext xmlns:c16="http://schemas.microsoft.com/office/drawing/2014/chart" uri="{C3380CC4-5D6E-409C-BE32-E72D297353CC}">
                <c16:uniqueId val="{00000003-F4CB-41E5-BC3D-DBCB2D2F14F0}"/>
              </c:ext>
            </c:extLst>
          </c:dPt>
          <c:cat>
            <c:numRef>
              <c:f>'U10m drift-fixed nets'!$D$2:$N$2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'U10m drift-fixed nets'!$D$22:$N$22</c:f>
              <c:numCache>
                <c:formatCode>#,##0.00</c:formatCode>
                <c:ptCount val="11"/>
                <c:pt idx="0">
                  <c:v>6.7684348954340701</c:v>
                </c:pt>
                <c:pt idx="1">
                  <c:v>6.5055047621575497</c:v>
                </c:pt>
                <c:pt idx="2">
                  <c:v>6.8811829707858996</c:v>
                </c:pt>
                <c:pt idx="3">
                  <c:v>7.1467521742366404</c:v>
                </c:pt>
                <c:pt idx="4">
                  <c:v>6.3162072637514202</c:v>
                </c:pt>
                <c:pt idx="5">
                  <c:v>6.6329857366854998</c:v>
                </c:pt>
                <c:pt idx="6">
                  <c:v>7.3371174201518699</c:v>
                </c:pt>
                <c:pt idx="7">
                  <c:v>7.8812389907562004</c:v>
                </c:pt>
                <c:pt idx="8">
                  <c:v>8.1389705249626996</c:v>
                </c:pt>
                <c:pt idx="9">
                  <c:v>8.2865140703610898</c:v>
                </c:pt>
                <c:pt idx="10">
                  <c:v>8.2154944235053602</c:v>
                </c:pt>
              </c:numCache>
            </c:numRef>
          </c:val>
          <c:smooth val="0"/>
          <c:extLst>
            <c:ext xmlns:c16="http://schemas.microsoft.com/office/drawing/2014/chart" uri="{C3380CC4-5D6E-409C-BE32-E72D297353CC}">
              <c16:uniqueId val="{00000004-F4CB-41E5-BC3D-DBCB2D2F14F0}"/>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nets'!$B$62</c:f>
          <c:strCache>
            <c:ptCount val="1"/>
            <c:pt idx="0">
              <c:v>Total cost per kW day at sea (£)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3C74-4A5B-BB2B-34DBF420C438}"/>
              </c:ext>
            </c:extLst>
          </c:dPt>
          <c:dPt>
            <c:idx val="10"/>
            <c:bubble3D val="0"/>
            <c:spPr>
              <a:ln w="57150">
                <a:solidFill>
                  <a:srgbClr val="087CBB"/>
                </a:solidFill>
                <a:prstDash val="sysDot"/>
              </a:ln>
            </c:spPr>
            <c:extLst>
              <c:ext xmlns:c16="http://schemas.microsoft.com/office/drawing/2014/chart" uri="{C3380CC4-5D6E-409C-BE32-E72D297353CC}">
                <c16:uniqueId val="{00000003-3C74-4A5B-BB2B-34DBF420C438}"/>
              </c:ext>
            </c:extLst>
          </c:dPt>
          <c:cat>
            <c:numRef>
              <c:f>'U10m drift-fixed nets'!$D$2:$N$2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'U10m drift-fixed nets'!$D$23:$N$23</c:f>
              <c:numCache>
                <c:formatCode>#,##0.00</c:formatCode>
                <c:ptCount val="11"/>
                <c:pt idx="0">
                  <c:v>5.0824830606694498</c:v>
                </c:pt>
                <c:pt idx="1">
                  <c:v>4.5789525636959896</c:v>
                </c:pt>
                <c:pt idx="2">
                  <c:v>4.8381805843647401</c:v>
                </c:pt>
                <c:pt idx="3">
                  <c:v>5.0189427676195502</c:v>
                </c:pt>
                <c:pt idx="4">
                  <c:v>4.7554662158514898</c:v>
                </c:pt>
                <c:pt idx="5">
                  <c:v>4.6846024177545997</c:v>
                </c:pt>
                <c:pt idx="6">
                  <c:v>4.8743538663397104</c:v>
                </c:pt>
                <c:pt idx="7">
                  <c:v>5.5493098040583897</c:v>
                </c:pt>
                <c:pt idx="8">
                  <c:v>5.4331474366646502</c:v>
                </c:pt>
                <c:pt idx="9">
                  <c:v>5.7781995986086603</c:v>
                </c:pt>
                <c:pt idx="10">
                  <c:v>5.8614330682178952</c:v>
                </c:pt>
              </c:numCache>
            </c:numRef>
          </c:val>
          <c:smooth val="0"/>
          <c:extLst>
            <c:ext xmlns:c16="http://schemas.microsoft.com/office/drawing/2014/chart" uri="{C3380CC4-5D6E-409C-BE32-E72D297353CC}">
              <c16:uniqueId val="{00000004-3C74-4A5B-BB2B-34DBF420C438}"/>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nets'!$K$48</c:f>
          <c:strCache>
            <c:ptCount val="1"/>
            <c:pt idx="0">
              <c:v>Operating profit per kW day at sea (£)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9D32-4D1D-9326-F2A91206FD42}"/>
              </c:ext>
            </c:extLst>
          </c:dPt>
          <c:dPt>
            <c:idx val="10"/>
            <c:bubble3D val="0"/>
            <c:spPr>
              <a:ln w="57150">
                <a:solidFill>
                  <a:schemeClr val="accent3"/>
                </a:solidFill>
                <a:prstDash val="sysDot"/>
              </a:ln>
            </c:spPr>
            <c:extLst>
              <c:ext xmlns:c16="http://schemas.microsoft.com/office/drawing/2014/chart" uri="{C3380CC4-5D6E-409C-BE32-E72D297353CC}">
                <c16:uniqueId val="{00000003-9D32-4D1D-9326-F2A91206FD42}"/>
              </c:ext>
            </c:extLst>
          </c:dPt>
          <c:cat>
            <c:numRef>
              <c:f>'U10m drift-fixed nets'!$D$2:$N$2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'U10m drift-fixed nets'!$D$24:$N$24</c:f>
              <c:numCache>
                <c:formatCode>#,##0.00</c:formatCode>
                <c:ptCount val="11"/>
                <c:pt idx="0">
                  <c:v>2.3525151313931798</c:v>
                </c:pt>
                <c:pt idx="1">
                  <c:v>2.3452891552590298</c:v>
                </c:pt>
                <c:pt idx="2">
                  <c:v>2.1073160412518002</c:v>
                </c:pt>
                <c:pt idx="3">
                  <c:v>2.6412186980216501</c:v>
                </c:pt>
                <c:pt idx="4">
                  <c:v>1.64275149619371</c:v>
                </c:pt>
                <c:pt idx="5">
                  <c:v>2.0411858466826698</c:v>
                </c:pt>
                <c:pt idx="6">
                  <c:v>2.7299719883940701</c:v>
                </c:pt>
                <c:pt idx="7">
                  <c:v>2.34281925036401</c:v>
                </c:pt>
                <c:pt idx="8">
                  <c:v>2.8765570066455299</c:v>
                </c:pt>
                <c:pt idx="9">
                  <c:v>4.1594129040035703</c:v>
                </c:pt>
                <c:pt idx="10">
                  <c:v>3.2317715910819431</c:v>
                </c:pt>
              </c:numCache>
            </c:numRef>
          </c:val>
          <c:smooth val="0"/>
          <c:extLst>
            <c:ext xmlns:c16="http://schemas.microsoft.com/office/drawing/2014/chart" uri="{C3380CC4-5D6E-409C-BE32-E72D297353CC}">
              <c16:uniqueId val="{00000004-9D32-4D1D-9326-F2A91206FD42}"/>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nets'!$A$50</c:f>
          <c:strCache>
            <c:ptCount val="1"/>
            <c:pt idx="0">
              <c:v>Average price per tonne landed (£)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7CFB-47A4-8A82-BE6418832426}"/>
              </c:ext>
            </c:extLst>
          </c:dPt>
          <c:dPt>
            <c:idx val="10"/>
            <c:bubble3D val="0"/>
            <c:spPr>
              <a:ln w="57150">
                <a:solidFill>
                  <a:schemeClr val="accent4"/>
                </a:solidFill>
                <a:prstDash val="sysDot"/>
              </a:ln>
            </c:spPr>
            <c:extLst>
              <c:ext xmlns:c16="http://schemas.microsoft.com/office/drawing/2014/chart" uri="{C3380CC4-5D6E-409C-BE32-E72D297353CC}">
                <c16:uniqueId val="{00000003-7CFB-47A4-8A82-BE6418832426}"/>
              </c:ext>
            </c:extLst>
          </c:dPt>
          <c:cat>
            <c:numRef>
              <c:f>'U10m drift-fixed nets'!$D$2:$M$2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drift-fixed nets'!$D$20:$N$20</c:f>
              <c:numCache>
                <c:formatCode>#,##0</c:formatCode>
                <c:ptCount val="11"/>
                <c:pt idx="0">
                  <c:v>2629</c:v>
                </c:pt>
                <c:pt idx="1">
                  <c:v>2620</c:v>
                </c:pt>
                <c:pt idx="2">
                  <c:v>2571</c:v>
                </c:pt>
                <c:pt idx="3">
                  <c:v>2793</c:v>
                </c:pt>
                <c:pt idx="4">
                  <c:v>2721</c:v>
                </c:pt>
                <c:pt idx="5">
                  <c:v>2551</c:v>
                </c:pt>
                <c:pt idx="6">
                  <c:v>2904</c:v>
                </c:pt>
                <c:pt idx="7">
                  <c:v>3068</c:v>
                </c:pt>
                <c:pt idx="8">
                  <c:v>3125</c:v>
                </c:pt>
                <c:pt idx="9">
                  <c:v>2226</c:v>
                </c:pt>
                <c:pt idx="10">
                  <c:v>3227</c:v>
                </c:pt>
              </c:numCache>
            </c:numRef>
          </c:val>
          <c:smooth val="0"/>
          <c:extLst>
            <c:ext xmlns:c16="http://schemas.microsoft.com/office/drawing/2014/chart" uri="{C3380CC4-5D6E-409C-BE32-E72D297353CC}">
              <c16:uniqueId val="{00000004-7CFB-47A4-8A82-BE6418832426}"/>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nets'!$K$62</c:f>
          <c:strCache>
            <c:ptCount val="1"/>
            <c:pt idx="0">
              <c:v>Average annual operating profit per vessel (£'000)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6EE7-4D0E-81F6-5E60137D3974}"/>
              </c:ext>
            </c:extLst>
          </c:dPt>
          <c:dPt>
            <c:idx val="10"/>
            <c:bubble3D val="0"/>
            <c:spPr>
              <a:ln w="57150">
                <a:solidFill>
                  <a:schemeClr val="accent5"/>
                </a:solidFill>
                <a:prstDash val="sysDot"/>
              </a:ln>
            </c:spPr>
            <c:extLst>
              <c:ext xmlns:c16="http://schemas.microsoft.com/office/drawing/2014/chart" uri="{C3380CC4-5D6E-409C-BE32-E72D297353CC}">
                <c16:uniqueId val="{00000003-6EE7-4D0E-81F6-5E60137D3974}"/>
              </c:ext>
            </c:extLst>
          </c:dPt>
          <c:cat>
            <c:numRef>
              <c:f>'U10m drift-fixed nets'!$D$2:$M$2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drift-fixed nets'!$D$37:$N$37</c:f>
              <c:numCache>
                <c:formatCode>#,##0.0</c:formatCode>
                <c:ptCount val="11"/>
                <c:pt idx="0">
                  <c:v>17.5</c:v>
                </c:pt>
                <c:pt idx="1">
                  <c:v>17.3</c:v>
                </c:pt>
                <c:pt idx="2">
                  <c:v>14.7</c:v>
                </c:pt>
                <c:pt idx="3">
                  <c:v>19.2</c:v>
                </c:pt>
                <c:pt idx="4">
                  <c:v>11.4</c:v>
                </c:pt>
                <c:pt idx="5">
                  <c:v>14.5</c:v>
                </c:pt>
                <c:pt idx="6">
                  <c:v>18.600000000000001</c:v>
                </c:pt>
                <c:pt idx="7">
                  <c:v>14.8</c:v>
                </c:pt>
                <c:pt idx="8">
                  <c:v>15</c:v>
                </c:pt>
                <c:pt idx="9">
                  <c:v>20.7</c:v>
                </c:pt>
                <c:pt idx="10">
                  <c:v>15.700000000000001</c:v>
                </c:pt>
              </c:numCache>
            </c:numRef>
          </c:val>
          <c:smooth val="0"/>
          <c:extLst>
            <c:ext xmlns:c16="http://schemas.microsoft.com/office/drawing/2014/chart" uri="{C3380CC4-5D6E-409C-BE32-E72D297353CC}">
              <c16:uniqueId val="{00000004-6EE7-4D0E-81F6-5E60137D3974}"/>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drift-fixed nets'!$A$76</c:f>
          <c:strCache>
            <c:ptCount val="1"/>
            <c:pt idx="0">
              <c:v>Top 5 landed species by volume in 2020
Under 10m drift and/or fixed nets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E84A38"/>
              </a:solidFill>
              <a:ln>
                <a:solidFill>
                  <a:srgbClr val="FFFFFF"/>
                </a:solidFill>
              </a:ln>
            </c:spPr>
            <c:extLst>
              <c:ext xmlns:c16="http://schemas.microsoft.com/office/drawing/2014/chart" uri="{C3380CC4-5D6E-409C-BE32-E72D297353CC}">
                <c16:uniqueId val="{00000001-38FA-4297-9DB1-BDC23CCF9932}"/>
              </c:ext>
            </c:extLst>
          </c:dPt>
          <c:dPt>
            <c:idx val="1"/>
            <c:bubble3D val="0"/>
            <c:spPr>
              <a:solidFill>
                <a:srgbClr val="C1D119"/>
              </a:solidFill>
              <a:ln>
                <a:solidFill>
                  <a:srgbClr val="FFFFFF"/>
                </a:solidFill>
              </a:ln>
            </c:spPr>
            <c:extLst>
              <c:ext xmlns:c16="http://schemas.microsoft.com/office/drawing/2014/chart" uri="{C3380CC4-5D6E-409C-BE32-E72D297353CC}">
                <c16:uniqueId val="{00000003-38FA-4297-9DB1-BDC23CCF9932}"/>
              </c:ext>
            </c:extLst>
          </c:dPt>
          <c:dPt>
            <c:idx val="2"/>
            <c:bubble3D val="0"/>
            <c:spPr>
              <a:solidFill>
                <a:srgbClr val="0F9AA9"/>
              </a:solidFill>
              <a:ln>
                <a:solidFill>
                  <a:srgbClr val="FFFFFF"/>
                </a:solidFill>
              </a:ln>
            </c:spPr>
            <c:extLst>
              <c:ext xmlns:c16="http://schemas.microsoft.com/office/drawing/2014/chart" uri="{C3380CC4-5D6E-409C-BE32-E72D297353CC}">
                <c16:uniqueId val="{00000005-38FA-4297-9DB1-BDC23CCF9932}"/>
              </c:ext>
            </c:extLst>
          </c:dPt>
          <c:dPt>
            <c:idx val="3"/>
            <c:bubble3D val="0"/>
            <c:spPr>
              <a:solidFill>
                <a:srgbClr val="648C2E"/>
              </a:solidFill>
              <a:ln>
                <a:solidFill>
                  <a:srgbClr val="FFFFFF"/>
                </a:solidFill>
              </a:ln>
            </c:spPr>
            <c:extLst>
              <c:ext xmlns:c16="http://schemas.microsoft.com/office/drawing/2014/chart" uri="{C3380CC4-5D6E-409C-BE32-E72D297353CC}">
                <c16:uniqueId val="{00000007-38FA-4297-9DB1-BDC23CCF9932}"/>
              </c:ext>
            </c:extLst>
          </c:dPt>
          <c:dPt>
            <c:idx val="4"/>
            <c:bubble3D val="0"/>
            <c:spPr>
              <a:solidFill>
                <a:srgbClr val="FED825"/>
              </a:solidFill>
              <a:ln>
                <a:solidFill>
                  <a:srgbClr val="FFFFFF"/>
                </a:solidFill>
              </a:ln>
            </c:spPr>
            <c:extLst>
              <c:ext xmlns:c16="http://schemas.microsoft.com/office/drawing/2014/chart" uri="{C3380CC4-5D6E-409C-BE32-E72D297353CC}">
                <c16:uniqueId val="{00000009-38FA-4297-9DB1-BDC23CCF9932}"/>
              </c:ext>
            </c:extLst>
          </c:dPt>
          <c:dPt>
            <c:idx val="5"/>
            <c:bubble3D val="0"/>
            <c:spPr>
              <a:solidFill>
                <a:srgbClr val="55585A"/>
              </a:solidFill>
              <a:ln>
                <a:solidFill>
                  <a:srgbClr val="FFFFFF"/>
                </a:solidFill>
              </a:ln>
            </c:spPr>
            <c:extLst>
              <c:ext xmlns:c16="http://schemas.microsoft.com/office/drawing/2014/chart" uri="{C3380CC4-5D6E-409C-BE32-E72D297353CC}">
                <c16:uniqueId val="{0000000B-38FA-4297-9DB1-BDC23CCF9932}"/>
              </c:ext>
            </c:extLst>
          </c:dPt>
          <c:cat>
            <c:strRef>
              <c:f>'U10m drift-fixed nets'!$B$77:$B$82</c:f>
              <c:strCache>
                <c:ptCount val="6"/>
                <c:pt idx="0">
                  <c:v>Cockles - 19.2%</c:v>
                </c:pt>
                <c:pt idx="1">
                  <c:v>Whelks - 15.8%</c:v>
                </c:pt>
                <c:pt idx="2">
                  <c:v>Pilchards - 12.9%</c:v>
                </c:pt>
                <c:pt idx="3">
                  <c:v>Pollack - 7.6%</c:v>
                </c:pt>
                <c:pt idx="4">
                  <c:v>Brown Crab - 5.8%</c:v>
                </c:pt>
                <c:pt idx="5">
                  <c:v>Others - 38.7%</c:v>
                </c:pt>
              </c:strCache>
            </c:strRef>
          </c:cat>
          <c:val>
            <c:numRef>
              <c:f>'U10m drift-fixed nets'!$C$77:$C$82</c:f>
              <c:numCache>
                <c:formatCode>0.0%</c:formatCode>
                <c:ptCount val="6"/>
                <c:pt idx="0">
                  <c:v>0.19232983706813617</c:v>
                </c:pt>
                <c:pt idx="1">
                  <c:v>0.15783684100717613</c:v>
                </c:pt>
                <c:pt idx="2">
                  <c:v>0.12924861131430432</c:v>
                </c:pt>
                <c:pt idx="3">
                  <c:v>7.5783662103655822E-2</c:v>
                </c:pt>
                <c:pt idx="4">
                  <c:v>5.7608636404376683E-2</c:v>
                </c:pt>
                <c:pt idx="5">
                  <c:v>0.38719241210235089</c:v>
                </c:pt>
              </c:numCache>
            </c:numRef>
          </c:val>
          <c:extLst>
            <c:ext xmlns:c16="http://schemas.microsoft.com/office/drawing/2014/chart" uri="{C3380CC4-5D6E-409C-BE32-E72D297353CC}">
              <c16:uniqueId val="{0000000C-38FA-4297-9DB1-BDC23CCF993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drift-fixed nets'!$F$76</c:f>
          <c:strCache>
            <c:ptCount val="1"/>
            <c:pt idx="0">
              <c:v>Top 5 landed species by value in 2020
Under 10m drift and/or fixed nets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B494-4AE0-B021-19752BEBAE3B}"/>
              </c:ext>
            </c:extLst>
          </c:dPt>
          <c:dPt>
            <c:idx val="1"/>
            <c:bubble3D val="0"/>
            <c:spPr>
              <a:solidFill>
                <a:srgbClr val="E87308"/>
              </a:solidFill>
              <a:ln>
                <a:solidFill>
                  <a:srgbClr val="FFFFFF"/>
                </a:solidFill>
              </a:ln>
            </c:spPr>
            <c:extLst>
              <c:ext xmlns:c16="http://schemas.microsoft.com/office/drawing/2014/chart" uri="{C3380CC4-5D6E-409C-BE32-E72D297353CC}">
                <c16:uniqueId val="{00000003-B494-4AE0-B021-19752BEBAE3B}"/>
              </c:ext>
            </c:extLst>
          </c:dPt>
          <c:dPt>
            <c:idx val="2"/>
            <c:bubble3D val="0"/>
            <c:spPr>
              <a:solidFill>
                <a:srgbClr val="648C2E"/>
              </a:solidFill>
              <a:ln>
                <a:solidFill>
                  <a:srgbClr val="FFFFFF"/>
                </a:solidFill>
              </a:ln>
            </c:spPr>
            <c:extLst>
              <c:ext xmlns:c16="http://schemas.microsoft.com/office/drawing/2014/chart" uri="{C3380CC4-5D6E-409C-BE32-E72D297353CC}">
                <c16:uniqueId val="{00000005-B494-4AE0-B021-19752BEBAE3B}"/>
              </c:ext>
            </c:extLst>
          </c:dPt>
          <c:dPt>
            <c:idx val="3"/>
            <c:bubble3D val="0"/>
            <c:spPr>
              <a:solidFill>
                <a:srgbClr val="C1D119"/>
              </a:solidFill>
              <a:ln>
                <a:solidFill>
                  <a:srgbClr val="FFFFFF"/>
                </a:solidFill>
              </a:ln>
            </c:spPr>
            <c:extLst>
              <c:ext xmlns:c16="http://schemas.microsoft.com/office/drawing/2014/chart" uri="{C3380CC4-5D6E-409C-BE32-E72D297353CC}">
                <c16:uniqueId val="{00000007-B494-4AE0-B021-19752BEBAE3B}"/>
              </c:ext>
            </c:extLst>
          </c:dPt>
          <c:dPt>
            <c:idx val="4"/>
            <c:bubble3D val="0"/>
            <c:spPr>
              <a:solidFill>
                <a:srgbClr val="E84A38"/>
              </a:solidFill>
              <a:ln>
                <a:solidFill>
                  <a:srgbClr val="FFFFFF"/>
                </a:solidFill>
              </a:ln>
            </c:spPr>
            <c:extLst>
              <c:ext xmlns:c16="http://schemas.microsoft.com/office/drawing/2014/chart" uri="{C3380CC4-5D6E-409C-BE32-E72D297353CC}">
                <c16:uniqueId val="{00000009-B494-4AE0-B021-19752BEBAE3B}"/>
              </c:ext>
            </c:extLst>
          </c:dPt>
          <c:dPt>
            <c:idx val="5"/>
            <c:bubble3D val="0"/>
            <c:spPr>
              <a:solidFill>
                <a:srgbClr val="55585A"/>
              </a:solidFill>
              <a:ln>
                <a:solidFill>
                  <a:srgbClr val="FFFFFF"/>
                </a:solidFill>
              </a:ln>
            </c:spPr>
            <c:extLst>
              <c:ext xmlns:c16="http://schemas.microsoft.com/office/drawing/2014/chart" uri="{C3380CC4-5D6E-409C-BE32-E72D297353CC}">
                <c16:uniqueId val="{0000000B-B494-4AE0-B021-19752BEBAE3B}"/>
              </c:ext>
            </c:extLst>
          </c:dPt>
          <c:cat>
            <c:strRef>
              <c:f>'U10m drift-fixed nets'!$G$77:$G$82</c:f>
              <c:strCache>
                <c:ptCount val="6"/>
                <c:pt idx="0">
                  <c:v>Sole - 24.2%</c:v>
                </c:pt>
                <c:pt idx="1">
                  <c:v>Bass - 12.8%</c:v>
                </c:pt>
                <c:pt idx="2">
                  <c:v>Pollack - 9.5%</c:v>
                </c:pt>
                <c:pt idx="3">
                  <c:v>Whelks - 8.4%</c:v>
                </c:pt>
                <c:pt idx="4">
                  <c:v>Cockles - 5.8%</c:v>
                </c:pt>
                <c:pt idx="5">
                  <c:v>Others - 39.4%</c:v>
                </c:pt>
              </c:strCache>
            </c:strRef>
          </c:cat>
          <c:val>
            <c:numRef>
              <c:f>'U10m drift-fixed nets'!$H$77:$H$82</c:f>
              <c:numCache>
                <c:formatCode>0.0%</c:formatCode>
                <c:ptCount val="6"/>
                <c:pt idx="0">
                  <c:v>0.24197211043652589</c:v>
                </c:pt>
                <c:pt idx="1">
                  <c:v>0.12774652598979969</c:v>
                </c:pt>
                <c:pt idx="2">
                  <c:v>9.5036801466017506E-2</c:v>
                </c:pt>
                <c:pt idx="3">
                  <c:v>8.3547301464953441E-2</c:v>
                </c:pt>
                <c:pt idx="4">
                  <c:v>5.772328531618897E-2</c:v>
                </c:pt>
                <c:pt idx="5">
                  <c:v>0.39397397532651446</c:v>
                </c:pt>
              </c:numCache>
            </c:numRef>
          </c:val>
          <c:extLst>
            <c:ext xmlns:c16="http://schemas.microsoft.com/office/drawing/2014/chart" uri="{C3380CC4-5D6E-409C-BE32-E72D297353CC}">
              <c16:uniqueId val="{0000000C-B494-4AE0-B021-19752BEBAE3B}"/>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drift-fixed nets'!$K$77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'U10m drift-fixed nets'!$C$92</c:f>
              <c:strCache>
                <c:ptCount val="1"/>
                <c:pt idx="0">
                  <c:v>Sole</c:v>
                </c:pt>
              </c:strCache>
            </c:strRef>
          </c:tx>
          <c:spPr>
            <a:solidFill>
              <a:srgbClr val="2273B9"/>
            </a:solidFill>
            <a:ln>
              <a:solidFill>
                <a:srgbClr val="FFFFFF"/>
              </a:solidFill>
            </a:ln>
          </c:spPr>
          <c:invertIfNegative val="0"/>
          <c:cat>
            <c:numRef>
              <c:f>'U10m drift-fixed nets'!$D$91:$M$91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drift-fixed nets'!$D$92:$M$92</c:f>
              <c:numCache>
                <c:formatCode>0%</c:formatCode>
                <c:ptCount val="10"/>
                <c:pt idx="0">
                  <c:v>0.28844311654746618</c:v>
                </c:pt>
                <c:pt idx="1">
                  <c:v>0.26850338874963342</c:v>
                </c:pt>
                <c:pt idx="2">
                  <c:v>0.24134412512114328</c:v>
                </c:pt>
                <c:pt idx="3">
                  <c:v>0.29624209935649259</c:v>
                </c:pt>
                <c:pt idx="4">
                  <c:v>0.22869990368048759</c:v>
                </c:pt>
                <c:pt idx="5">
                  <c:v>0.26757187898674284</c:v>
                </c:pt>
                <c:pt idx="6">
                  <c:v>0.30225684874310094</c:v>
                </c:pt>
                <c:pt idx="7">
                  <c:v>0.26289197604597442</c:v>
                </c:pt>
                <c:pt idx="8">
                  <c:v>0.24197211043652589</c:v>
                </c:pt>
                <c:pt idx="9">
                  <c:v>0.28212714212983064</c:v>
                </c:pt>
              </c:numCache>
            </c:numRef>
          </c:val>
          <c:extLst>
            <c:ext xmlns:c16="http://schemas.microsoft.com/office/drawing/2014/chart" uri="{C3380CC4-5D6E-409C-BE32-E72D297353CC}">
              <c16:uniqueId val="{00000000-7DA5-495D-9A9C-811F479385BB}"/>
            </c:ext>
          </c:extLst>
        </c:ser>
        <c:ser>
          <c:idx val="1"/>
          <c:order val="1"/>
          <c:tx>
            <c:strRef>
              <c:f>'U10m drift-fixed nets'!$C$93</c:f>
              <c:strCache>
                <c:ptCount val="1"/>
                <c:pt idx="0">
                  <c:v>Bass</c:v>
                </c:pt>
              </c:strCache>
            </c:strRef>
          </c:tx>
          <c:spPr>
            <a:solidFill>
              <a:srgbClr val="E87308"/>
            </a:solidFill>
            <a:ln>
              <a:solidFill>
                <a:srgbClr val="FFFFFF"/>
              </a:solidFill>
            </a:ln>
          </c:spPr>
          <c:invertIfNegative val="0"/>
          <c:cat>
            <c:numRef>
              <c:f>'U10m drift-fixed nets'!$D$91:$M$91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drift-fixed nets'!$D$93:$M$93</c:f>
              <c:numCache>
                <c:formatCode>0%</c:formatCode>
                <c:ptCount val="10"/>
                <c:pt idx="0">
                  <c:v>0.16669526928914136</c:v>
                </c:pt>
                <c:pt idx="1">
                  <c:v>0.18301357471573879</c:v>
                </c:pt>
                <c:pt idx="2">
                  <c:v>0.28009911143223593</c:v>
                </c:pt>
                <c:pt idx="3">
                  <c:v>0.20195406641419714</c:v>
                </c:pt>
                <c:pt idx="4">
                  <c:v>0.14850336834647795</c:v>
                </c:pt>
                <c:pt idx="5">
                  <c:v>7.3095020309584188E-2</c:v>
                </c:pt>
                <c:pt idx="6">
                  <c:v>9.941342908968516E-2</c:v>
                </c:pt>
                <c:pt idx="7">
                  <c:v>0.11203896148603144</c:v>
                </c:pt>
                <c:pt idx="8">
                  <c:v>0.12774652598979969</c:v>
                </c:pt>
                <c:pt idx="9">
                  <c:v>0.14161718511658716</c:v>
                </c:pt>
              </c:numCache>
            </c:numRef>
          </c:val>
          <c:extLst>
            <c:ext xmlns:c16="http://schemas.microsoft.com/office/drawing/2014/chart" uri="{C3380CC4-5D6E-409C-BE32-E72D297353CC}">
              <c16:uniqueId val="{00000001-7DA5-495D-9A9C-811F479385BB}"/>
            </c:ext>
          </c:extLst>
        </c:ser>
        <c:ser>
          <c:idx val="2"/>
          <c:order val="2"/>
          <c:tx>
            <c:strRef>
              <c:f>'U10m drift-fixed nets'!$C$94</c:f>
              <c:strCache>
                <c:ptCount val="1"/>
                <c:pt idx="0">
                  <c:v>Pollack</c:v>
                </c:pt>
              </c:strCache>
            </c:strRef>
          </c:tx>
          <c:spPr>
            <a:solidFill>
              <a:srgbClr val="648C2E"/>
            </a:solidFill>
            <a:ln>
              <a:solidFill>
                <a:srgbClr val="FFFFFF"/>
              </a:solidFill>
            </a:ln>
          </c:spPr>
          <c:invertIfNegative val="0"/>
          <c:cat>
            <c:numRef>
              <c:f>'U10m drift-fixed nets'!$D$91:$M$91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drift-fixed nets'!$D$94:$M$94</c:f>
              <c:numCache>
                <c:formatCode>0%</c:formatCode>
                <c:ptCount val="10"/>
                <c:pt idx="0">
                  <c:v>7.766084010705733E-2</c:v>
                </c:pt>
                <c:pt idx="1">
                  <c:v>6.272873528434432E-2</c:v>
                </c:pt>
                <c:pt idx="2">
                  <c:v>5.4047954552092971E-2</c:v>
                </c:pt>
                <c:pt idx="3">
                  <c:v>5.0494417076834365E-2</c:v>
                </c:pt>
                <c:pt idx="4">
                  <c:v>8.4716108082951505E-2</c:v>
                </c:pt>
                <c:pt idx="5">
                  <c:v>0.11236286836418859</c:v>
                </c:pt>
                <c:pt idx="6">
                  <c:v>9.4034473704803417E-2</c:v>
                </c:pt>
                <c:pt idx="7">
                  <c:v>8.98727779616324E-2</c:v>
                </c:pt>
                <c:pt idx="8">
                  <c:v>9.5036801466017506E-2</c:v>
                </c:pt>
                <c:pt idx="9">
                  <c:v>8.436685404167675E-2</c:v>
                </c:pt>
              </c:numCache>
            </c:numRef>
          </c:val>
          <c:extLst>
            <c:ext xmlns:c16="http://schemas.microsoft.com/office/drawing/2014/chart" uri="{C3380CC4-5D6E-409C-BE32-E72D297353CC}">
              <c16:uniqueId val="{00000002-7DA5-495D-9A9C-811F479385BB}"/>
            </c:ext>
          </c:extLst>
        </c:ser>
        <c:ser>
          <c:idx val="3"/>
          <c:order val="3"/>
          <c:tx>
            <c:strRef>
              <c:f>'U10m drift-fixed nets'!$C$95</c:f>
              <c:strCache>
                <c:ptCount val="1"/>
                <c:pt idx="0">
                  <c:v>Whelks</c:v>
                </c:pt>
              </c:strCache>
            </c:strRef>
          </c:tx>
          <c:spPr>
            <a:solidFill>
              <a:srgbClr val="C1D119"/>
            </a:solidFill>
            <a:ln>
              <a:solidFill>
                <a:srgbClr val="FFFFFF"/>
              </a:solidFill>
            </a:ln>
          </c:spPr>
          <c:invertIfNegative val="0"/>
          <c:cat>
            <c:numRef>
              <c:f>'U10m drift-fixed nets'!$D$91:$M$91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drift-fixed nets'!$D$95:$M$95</c:f>
              <c:numCache>
                <c:formatCode>0%</c:formatCode>
                <c:ptCount val="10"/>
                <c:pt idx="2">
                  <c:v>4.2213317283214077E-2</c:v>
                </c:pt>
                <c:pt idx="3">
                  <c:v>5.4279128604824686E-2</c:v>
                </c:pt>
                <c:pt idx="4">
                  <c:v>5.5060288607253018E-2</c:v>
                </c:pt>
                <c:pt idx="5">
                  <c:v>7.0223876179935099E-2</c:v>
                </c:pt>
                <c:pt idx="6">
                  <c:v>7.7119471138370768E-2</c:v>
                </c:pt>
                <c:pt idx="7">
                  <c:v>8.4307305887467057E-2</c:v>
                </c:pt>
                <c:pt idx="8">
                  <c:v>8.3547301464953441E-2</c:v>
                </c:pt>
              </c:numCache>
            </c:numRef>
          </c:val>
          <c:extLst>
            <c:ext xmlns:c16="http://schemas.microsoft.com/office/drawing/2014/chart" uri="{C3380CC4-5D6E-409C-BE32-E72D297353CC}">
              <c16:uniqueId val="{00000003-7DA5-495D-9A9C-811F479385BB}"/>
            </c:ext>
          </c:extLst>
        </c:ser>
        <c:ser>
          <c:idx val="4"/>
          <c:order val="4"/>
          <c:tx>
            <c:strRef>
              <c:f>'U10m drift-fixed nets'!$C$96</c:f>
              <c:strCache>
                <c:ptCount val="1"/>
                <c:pt idx="0">
                  <c:v>Cockles</c:v>
                </c:pt>
              </c:strCache>
            </c:strRef>
          </c:tx>
          <c:spPr>
            <a:solidFill>
              <a:srgbClr val="E84A38"/>
            </a:solidFill>
            <a:ln>
              <a:solidFill>
                <a:srgbClr val="FFFFFF"/>
              </a:solidFill>
            </a:ln>
          </c:spPr>
          <c:invertIfNegative val="0"/>
          <c:cat>
            <c:numRef>
              <c:f>'U10m drift-fixed nets'!$D$91:$M$91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drift-fixed nets'!$D$96:$M$96</c:f>
              <c:numCache>
                <c:formatCode>0%</c:formatCode>
                <c:ptCount val="10"/>
                <c:pt idx="8">
                  <c:v>5.772328531618897E-2</c:v>
                </c:pt>
              </c:numCache>
            </c:numRef>
          </c:val>
          <c:extLst>
            <c:ext xmlns:c16="http://schemas.microsoft.com/office/drawing/2014/chart" uri="{C3380CC4-5D6E-409C-BE32-E72D297353CC}">
              <c16:uniqueId val="{00000004-7DA5-495D-9A9C-811F479385BB}"/>
            </c:ext>
          </c:extLst>
        </c:ser>
        <c:ser>
          <c:idx val="5"/>
          <c:order val="5"/>
          <c:tx>
            <c:strRef>
              <c:f>'U10m drift-fixed nets'!$C$97</c:f>
              <c:strCache>
                <c:ptCount val="1"/>
                <c:pt idx="0">
                  <c:v>Turbot</c:v>
                </c:pt>
              </c:strCache>
            </c:strRef>
          </c:tx>
          <c:spPr>
            <a:solidFill>
              <a:srgbClr val="0F9AA9"/>
            </a:solidFill>
            <a:ln>
              <a:solidFill>
                <a:srgbClr val="FFFFFF"/>
              </a:solidFill>
            </a:ln>
          </c:spPr>
          <c:invertIfNegative val="0"/>
          <c:cat>
            <c:numRef>
              <c:f>'U10m drift-fixed nets'!$D$91:$M$91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drift-fixed nets'!$D$97:$M$97</c:f>
              <c:numCache>
                <c:formatCode>0%</c:formatCode>
                <c:ptCount val="10"/>
                <c:pt idx="5">
                  <c:v>7.0051119766595227E-2</c:v>
                </c:pt>
                <c:pt idx="6">
                  <c:v>4.7775114974244359E-2</c:v>
                </c:pt>
                <c:pt idx="7">
                  <c:v>5.6341652731083387E-2</c:v>
                </c:pt>
                <c:pt idx="9">
                  <c:v>5.9641864459385595E-2</c:v>
                </c:pt>
              </c:numCache>
            </c:numRef>
          </c:val>
          <c:extLst>
            <c:ext xmlns:c16="http://schemas.microsoft.com/office/drawing/2014/chart" uri="{C3380CC4-5D6E-409C-BE32-E72D297353CC}">
              <c16:uniqueId val="{00000005-7DA5-495D-9A9C-811F479385BB}"/>
            </c:ext>
          </c:extLst>
        </c:ser>
        <c:ser>
          <c:idx val="6"/>
          <c:order val="6"/>
          <c:tx>
            <c:strRef>
              <c:f>'U10m drift-fixed nets'!$C$98</c:f>
              <c:strCache>
                <c:ptCount val="1"/>
                <c:pt idx="0">
                  <c:v>Anglerfish</c:v>
                </c:pt>
              </c:strCache>
            </c:strRef>
          </c:tx>
          <c:spPr>
            <a:solidFill>
              <a:srgbClr val="FED825"/>
            </a:solidFill>
            <a:ln>
              <a:solidFill>
                <a:srgbClr val="FFFFFF"/>
              </a:solidFill>
            </a:ln>
          </c:spPr>
          <c:invertIfNegative val="0"/>
          <c:cat>
            <c:numRef>
              <c:f>'U10m drift-fixed nets'!$D$91:$M$91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drift-fixed nets'!$D$98:$M$98</c:f>
              <c:numCache>
                <c:formatCode>0%</c:formatCode>
                <c:ptCount val="10"/>
                <c:pt idx="0">
                  <c:v>5.3052624121157708E-2</c:v>
                </c:pt>
                <c:pt idx="1">
                  <c:v>5.4930937106562022E-2</c:v>
                </c:pt>
                <c:pt idx="4">
                  <c:v>6.0500625547722453E-2</c:v>
                </c:pt>
                <c:pt idx="9">
                  <c:v>4.5706426931631738E-2</c:v>
                </c:pt>
              </c:numCache>
            </c:numRef>
          </c:val>
          <c:extLst>
            <c:ext xmlns:c16="http://schemas.microsoft.com/office/drawing/2014/chart" uri="{C3380CC4-5D6E-409C-BE32-E72D297353CC}">
              <c16:uniqueId val="{00000006-7DA5-495D-9A9C-811F479385BB}"/>
            </c:ext>
          </c:extLst>
        </c:ser>
        <c:ser>
          <c:idx val="7"/>
          <c:order val="7"/>
          <c:tx>
            <c:strRef>
              <c:f>'U10m drift-fixed nets'!$C$99</c:f>
              <c:strCache>
                <c:ptCount val="1"/>
                <c:pt idx="0">
                  <c:v>Cod</c:v>
                </c:pt>
              </c:strCache>
            </c:strRef>
          </c:tx>
          <c:spPr>
            <a:solidFill>
              <a:srgbClr val="707271"/>
            </a:solidFill>
            <a:ln>
              <a:solidFill>
                <a:srgbClr val="FFFFFF"/>
              </a:solidFill>
            </a:ln>
          </c:spPr>
          <c:invertIfNegative val="0"/>
          <c:cat>
            <c:numRef>
              <c:f>'U10m drift-fixed nets'!$D$91:$M$91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drift-fixed nets'!$D$99:$M$99</c:f>
              <c:numCache>
                <c:formatCode>0%</c:formatCode>
                <c:ptCount val="10"/>
                <c:pt idx="0">
                  <c:v>4.1215956840084937E-2</c:v>
                </c:pt>
                <c:pt idx="3">
                  <c:v>4.8004724102963497E-2</c:v>
                </c:pt>
              </c:numCache>
            </c:numRef>
          </c:val>
          <c:extLst>
            <c:ext xmlns:c16="http://schemas.microsoft.com/office/drawing/2014/chart" uri="{C3380CC4-5D6E-409C-BE32-E72D297353CC}">
              <c16:uniqueId val="{00000007-7DA5-495D-9A9C-811F479385BB}"/>
            </c:ext>
          </c:extLst>
        </c:ser>
        <c:ser>
          <c:idx val="8"/>
          <c:order val="8"/>
          <c:tx>
            <c:strRef>
              <c:f>'U10m drift-fixed nets'!$C$100</c:f>
              <c:strCache>
                <c:ptCount val="1"/>
                <c:pt idx="0">
                  <c:v>Lobsters</c:v>
                </c:pt>
              </c:strCache>
            </c:strRef>
          </c:tx>
          <c:spPr>
            <a:solidFill>
              <a:srgbClr val="51AA81"/>
            </a:solidFill>
            <a:ln>
              <a:solidFill>
                <a:srgbClr val="FFFFFF"/>
              </a:solidFill>
            </a:ln>
          </c:spPr>
          <c:invertIfNegative val="0"/>
          <c:cat>
            <c:numRef>
              <c:f>'U10m drift-fixed nets'!$D$91:$M$91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drift-fixed nets'!$D$100:$M$100</c:f>
              <c:numCache>
                <c:formatCode>0%</c:formatCode>
                <c:ptCount val="10"/>
                <c:pt idx="2">
                  <c:v>3.7629696669099592E-2</c:v>
                </c:pt>
              </c:numCache>
            </c:numRef>
          </c:val>
          <c:extLst>
            <c:ext xmlns:c16="http://schemas.microsoft.com/office/drawing/2014/chart" uri="{C3380CC4-5D6E-409C-BE32-E72D297353CC}">
              <c16:uniqueId val="{00000008-7DA5-495D-9A9C-811F479385BB}"/>
            </c:ext>
          </c:extLst>
        </c:ser>
        <c:ser>
          <c:idx val="9"/>
          <c:order val="9"/>
          <c:tx>
            <c:strRef>
              <c:f>'U10m drift-fixed nets'!$C$101</c:f>
              <c:strCache>
                <c:ptCount val="1"/>
                <c:pt idx="0">
                  <c:v>Brown Crab</c:v>
                </c:pt>
              </c:strCache>
            </c:strRef>
          </c:tx>
          <c:spPr>
            <a:solidFill>
              <a:srgbClr val="169FDB"/>
            </a:solidFill>
            <a:ln>
              <a:solidFill>
                <a:srgbClr val="FFFFFF"/>
              </a:solidFill>
            </a:ln>
          </c:spPr>
          <c:invertIfNegative val="0"/>
          <c:cat>
            <c:numRef>
              <c:f>'U10m drift-fixed nets'!$D$91:$M$91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drift-fixed nets'!$D$101:$M$101</c:f>
              <c:numCache>
                <c:formatCode>0%</c:formatCode>
                <c:ptCount val="10"/>
                <c:pt idx="1">
                  <c:v>4.4650226931498373E-2</c:v>
                </c:pt>
              </c:numCache>
            </c:numRef>
          </c:val>
          <c:extLst>
            <c:ext xmlns:c16="http://schemas.microsoft.com/office/drawing/2014/chart" uri="{C3380CC4-5D6E-409C-BE32-E72D297353CC}">
              <c16:uniqueId val="{00000009-7DA5-495D-9A9C-811F479385BB}"/>
            </c:ext>
          </c:extLst>
        </c:ser>
        <c:ser>
          <c:idx val="10"/>
          <c:order val="10"/>
          <c:tx>
            <c:strRef>
              <c:f>'U10m drift-fixed nets'!$C$102</c:f>
              <c:strCache>
                <c:ptCount val="1"/>
                <c:pt idx="0">
                  <c:v>Others</c:v>
                </c:pt>
              </c:strCache>
            </c:strRef>
          </c:tx>
          <c:spPr>
            <a:solidFill>
              <a:srgbClr val="55585A"/>
            </a:solidFill>
            <a:ln>
              <a:solidFill>
                <a:srgbClr val="FFFFFF"/>
              </a:solidFill>
            </a:ln>
          </c:spPr>
          <c:invertIfNegative val="0"/>
          <c:cat>
            <c:numRef>
              <c:f>'U10m drift-fixed nets'!$D$91:$M$91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drift-fixed nets'!$D$102:$M$102</c:f>
              <c:numCache>
                <c:formatCode>0%</c:formatCode>
                <c:ptCount val="10"/>
                <c:pt idx="0">
                  <c:v>0.37293219309509251</c:v>
                </c:pt>
                <c:pt idx="1">
                  <c:v>0.38617313721222302</c:v>
                </c:pt>
                <c:pt idx="2">
                  <c:v>0.34466579494221417</c:v>
                </c:pt>
                <c:pt idx="3">
                  <c:v>0.34902556444468774</c:v>
                </c:pt>
                <c:pt idx="4">
                  <c:v>0.4225197057351075</c:v>
                </c:pt>
                <c:pt idx="5">
                  <c:v>0.40669523639295402</c:v>
                </c:pt>
                <c:pt idx="6">
                  <c:v>0.37940066234979536</c:v>
                </c:pt>
                <c:pt idx="7">
                  <c:v>0.39454732588781133</c:v>
                </c:pt>
                <c:pt idx="8">
                  <c:v>0.39397397532651451</c:v>
                </c:pt>
                <c:pt idx="9">
                  <c:v>0.38654052732088812</c:v>
                </c:pt>
              </c:numCache>
            </c:numRef>
          </c:val>
          <c:extLst>
            <c:ext xmlns:c16="http://schemas.microsoft.com/office/drawing/2014/chart" uri="{C3380CC4-5D6E-409C-BE32-E72D297353CC}">
              <c16:uniqueId val="{0000000A-7DA5-495D-9A9C-811F479385BB}"/>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u250kW'!$A$76</c:f>
          <c:strCache>
            <c:ptCount val="1"/>
            <c:pt idx="0">
              <c:v>Top 5 landed species by volume in 2020
Area VIIA nephrops under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3DE1-42A2-9BCC-6A31A8B3267B}"/>
              </c:ext>
            </c:extLst>
          </c:dPt>
          <c:dPt>
            <c:idx val="1"/>
            <c:bubble3D val="0"/>
            <c:spPr>
              <a:solidFill>
                <a:srgbClr val="E87308"/>
              </a:solidFill>
              <a:ln>
                <a:solidFill>
                  <a:srgbClr val="FFFFFF"/>
                </a:solidFill>
              </a:ln>
            </c:spPr>
            <c:extLst>
              <c:ext xmlns:c16="http://schemas.microsoft.com/office/drawing/2014/chart" uri="{C3380CC4-5D6E-409C-BE32-E72D297353CC}">
                <c16:uniqueId val="{00000003-3DE1-42A2-9BCC-6A31A8B3267B}"/>
              </c:ext>
            </c:extLst>
          </c:dPt>
          <c:dPt>
            <c:idx val="2"/>
            <c:bubble3D val="0"/>
            <c:spPr>
              <a:solidFill>
                <a:srgbClr val="E84A38"/>
              </a:solidFill>
              <a:ln>
                <a:solidFill>
                  <a:srgbClr val="FFFFFF"/>
                </a:solidFill>
              </a:ln>
            </c:spPr>
            <c:extLst>
              <c:ext xmlns:c16="http://schemas.microsoft.com/office/drawing/2014/chart" uri="{C3380CC4-5D6E-409C-BE32-E72D297353CC}">
                <c16:uniqueId val="{00000005-3DE1-42A2-9BCC-6A31A8B3267B}"/>
              </c:ext>
            </c:extLst>
          </c:dPt>
          <c:dPt>
            <c:idx val="3"/>
            <c:bubble3D val="0"/>
            <c:spPr>
              <a:solidFill>
                <a:srgbClr val="648C2E"/>
              </a:solidFill>
              <a:ln>
                <a:solidFill>
                  <a:srgbClr val="FFFFFF"/>
                </a:solidFill>
              </a:ln>
            </c:spPr>
            <c:extLst>
              <c:ext xmlns:c16="http://schemas.microsoft.com/office/drawing/2014/chart" uri="{C3380CC4-5D6E-409C-BE32-E72D297353CC}">
                <c16:uniqueId val="{00000007-3DE1-42A2-9BCC-6A31A8B3267B}"/>
              </c:ext>
            </c:extLst>
          </c:dPt>
          <c:dPt>
            <c:idx val="4"/>
            <c:bubble3D val="0"/>
            <c:spPr>
              <a:solidFill>
                <a:srgbClr val="0F9AA9"/>
              </a:solidFill>
              <a:ln>
                <a:solidFill>
                  <a:srgbClr val="FFFFFF"/>
                </a:solidFill>
              </a:ln>
            </c:spPr>
            <c:extLst>
              <c:ext xmlns:c16="http://schemas.microsoft.com/office/drawing/2014/chart" uri="{C3380CC4-5D6E-409C-BE32-E72D297353CC}">
                <c16:uniqueId val="{00000009-3DE1-42A2-9BCC-6A31A8B3267B}"/>
              </c:ext>
            </c:extLst>
          </c:dPt>
          <c:dPt>
            <c:idx val="5"/>
            <c:bubble3D val="0"/>
            <c:spPr>
              <a:solidFill>
                <a:srgbClr val="55585A"/>
              </a:solidFill>
              <a:ln>
                <a:solidFill>
                  <a:srgbClr val="FFFFFF"/>
                </a:solidFill>
              </a:ln>
            </c:spPr>
            <c:extLst>
              <c:ext xmlns:c16="http://schemas.microsoft.com/office/drawing/2014/chart" uri="{C3380CC4-5D6E-409C-BE32-E72D297353CC}">
                <c16:uniqueId val="{0000000B-3DE1-42A2-9BCC-6A31A8B3267B}"/>
              </c:ext>
            </c:extLst>
          </c:dPt>
          <c:cat>
            <c:strRef>
              <c:f>'Area VIIa nephrops u250kW'!$B$77:$B$82</c:f>
              <c:strCache>
                <c:ptCount val="6"/>
                <c:pt idx="0">
                  <c:v>Nephrops - 83.4%</c:v>
                </c:pt>
                <c:pt idx="1">
                  <c:v>Scallops - 6.0%</c:v>
                </c:pt>
                <c:pt idx="2">
                  <c:v>Les. Spot. Dog - 3.8%</c:v>
                </c:pt>
                <c:pt idx="3">
                  <c:v>Anglerfish - 1.4%</c:v>
                </c:pt>
                <c:pt idx="4">
                  <c:v>Thornback Ray - 1.0%</c:v>
                </c:pt>
                <c:pt idx="5">
                  <c:v>Others - 4.4%</c:v>
                </c:pt>
              </c:strCache>
            </c:strRef>
          </c:cat>
          <c:val>
            <c:numRef>
              <c:f>'Area VIIa nephrops u250kW'!$C$77:$C$82</c:f>
              <c:numCache>
                <c:formatCode>0.0%</c:formatCode>
                <c:ptCount val="6"/>
                <c:pt idx="0">
                  <c:v>0.83391056011178499</c:v>
                </c:pt>
                <c:pt idx="1">
                  <c:v>5.9879531981803506E-2</c:v>
                </c:pt>
                <c:pt idx="2">
                  <c:v>3.7990031415127933E-2</c:v>
                </c:pt>
                <c:pt idx="3">
                  <c:v>1.3785865401136386E-2</c:v>
                </c:pt>
                <c:pt idx="4">
                  <c:v>1.0138880570480511E-2</c:v>
                </c:pt>
                <c:pt idx="5">
                  <c:v>4.4295130519666714E-2</c:v>
                </c:pt>
              </c:numCache>
            </c:numRef>
          </c:val>
          <c:extLst>
            <c:ext xmlns:c16="http://schemas.microsoft.com/office/drawing/2014/chart" uri="{C3380CC4-5D6E-409C-BE32-E72D297353CC}">
              <c16:uniqueId val="{0000000C-3DE1-42A2-9BCC-6A31A8B3267B}"/>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'U10m drift-fixed nets'!$B$162</c:f>
              <c:strCache>
                <c:ptCount val="1"/>
                <c:pt idx="0">
                  <c:v>Cockles</c:v>
                </c:pt>
              </c:strCache>
            </c:strRef>
          </c:tx>
          <c:spPr>
            <a:solidFill>
              <a:srgbClr val="E84A38"/>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nets'!$C$162:$E$162</c:f>
              <c:numCache>
                <c:formatCode>0%</c:formatCode>
                <c:ptCount val="3"/>
                <c:pt idx="0">
                  <c:v>0</c:v>
                </c:pt>
                <c:pt idx="1">
                  <c:v>0.29854156880331117</c:v>
                </c:pt>
                <c:pt idx="2">
                  <c:v>0</c:v>
                </c:pt>
              </c:numCache>
            </c:numRef>
          </c:val>
          <c:extLst>
            <c:ext xmlns:c16="http://schemas.microsoft.com/office/drawing/2014/chart" uri="{C3380CC4-5D6E-409C-BE32-E72D297353CC}">
              <c16:uniqueId val="{00000000-D0DB-4B13-8FBF-1F12EA44652D}"/>
            </c:ext>
          </c:extLst>
        </c:ser>
        <c:ser>
          <c:idx val="1"/>
          <c:order val="1"/>
          <c:tx>
            <c:strRef>
              <c:f>'U10m drift-fixed nets'!$B$163</c:f>
              <c:strCache>
                <c:ptCount val="1"/>
                <c:pt idx="0">
                  <c:v>Pilchards</c:v>
                </c:pt>
              </c:strCache>
            </c:strRef>
          </c:tx>
          <c:spPr>
            <a:solidFill>
              <a:srgbClr val="0F9AA9"/>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nets'!$C$163:$E$163</c:f>
              <c:numCache>
                <c:formatCode>0%</c:formatCode>
                <c:ptCount val="3"/>
                <c:pt idx="0">
                  <c:v>6.5485423684063654E-2</c:v>
                </c:pt>
                <c:pt idx="1">
                  <c:v>0.17254015473322867</c:v>
                </c:pt>
                <c:pt idx="2">
                  <c:v>0</c:v>
                </c:pt>
              </c:numCache>
            </c:numRef>
          </c:val>
          <c:extLst>
            <c:ext xmlns:c16="http://schemas.microsoft.com/office/drawing/2014/chart" uri="{C3380CC4-5D6E-409C-BE32-E72D297353CC}">
              <c16:uniqueId val="{00000001-D0DB-4B13-8FBF-1F12EA44652D}"/>
            </c:ext>
          </c:extLst>
        </c:ser>
        <c:ser>
          <c:idx val="2"/>
          <c:order val="2"/>
          <c:tx>
            <c:strRef>
              <c:f>'U10m drift-fixed nets'!$B$164</c:f>
              <c:strCache>
                <c:ptCount val="1"/>
                <c:pt idx="0">
                  <c:v>Whelks</c:v>
                </c:pt>
              </c:strCache>
            </c:strRef>
          </c:tx>
          <c:spPr>
            <a:solidFill>
              <a:srgbClr val="C1D119"/>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nets'!$C$164:$E$164</c:f>
              <c:numCache>
                <c:formatCode>0%</c:formatCode>
                <c:ptCount val="3"/>
                <c:pt idx="0">
                  <c:v>2.5691383333588735E-2</c:v>
                </c:pt>
                <c:pt idx="1">
                  <c:v>0.13512810868409497</c:v>
                </c:pt>
                <c:pt idx="2">
                  <c:v>0.41510224021215714</c:v>
                </c:pt>
              </c:numCache>
            </c:numRef>
          </c:val>
          <c:extLst>
            <c:ext xmlns:c16="http://schemas.microsoft.com/office/drawing/2014/chart" uri="{C3380CC4-5D6E-409C-BE32-E72D297353CC}">
              <c16:uniqueId val="{00000002-D0DB-4B13-8FBF-1F12EA44652D}"/>
            </c:ext>
          </c:extLst>
        </c:ser>
        <c:ser>
          <c:idx val="3"/>
          <c:order val="3"/>
          <c:tx>
            <c:strRef>
              <c:f>'U10m drift-fixed nets'!$B$165</c:f>
              <c:strCache>
                <c:ptCount val="1"/>
                <c:pt idx="0">
                  <c:v>Pollack</c:v>
                </c:pt>
              </c:strCache>
            </c:strRef>
          </c:tx>
          <c:spPr>
            <a:solidFill>
              <a:srgbClr val="648C2E"/>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nets'!$C$165:$E$165</c:f>
              <c:numCache>
                <c:formatCode>0%</c:formatCode>
                <c:ptCount val="3"/>
                <c:pt idx="0">
                  <c:v>3.1882334569618316E-2</c:v>
                </c:pt>
                <c:pt idx="1">
                  <c:v>9.2865118888522086E-2</c:v>
                </c:pt>
                <c:pt idx="2">
                  <c:v>0</c:v>
                </c:pt>
              </c:numCache>
            </c:numRef>
          </c:val>
          <c:extLst>
            <c:ext xmlns:c16="http://schemas.microsoft.com/office/drawing/2014/chart" uri="{C3380CC4-5D6E-409C-BE32-E72D297353CC}">
              <c16:uniqueId val="{00000003-D0DB-4B13-8FBF-1F12EA44652D}"/>
            </c:ext>
          </c:extLst>
        </c:ser>
        <c:ser>
          <c:idx val="4"/>
          <c:order val="4"/>
          <c:tx>
            <c:strRef>
              <c:f>'U10m drift-fixed nets'!$B$166</c:f>
              <c:strCache>
                <c:ptCount val="1"/>
                <c:pt idx="0">
                  <c:v>Brown Crab</c:v>
                </c:pt>
              </c:strCache>
            </c:strRef>
          </c:tx>
          <c:spPr>
            <a:solidFill>
              <a:srgbClr val="FED825"/>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nets'!$C$166:$E$166</c:f>
              <c:numCache>
                <c:formatCode>0%</c:formatCode>
                <c:ptCount val="3"/>
                <c:pt idx="0">
                  <c:v>0</c:v>
                </c:pt>
                <c:pt idx="1">
                  <c:v>8.1167425246343017E-2</c:v>
                </c:pt>
                <c:pt idx="2">
                  <c:v>0</c:v>
                </c:pt>
              </c:numCache>
            </c:numRef>
          </c:val>
          <c:extLst>
            <c:ext xmlns:c16="http://schemas.microsoft.com/office/drawing/2014/chart" uri="{C3380CC4-5D6E-409C-BE32-E72D297353CC}">
              <c16:uniqueId val="{00000004-D0DB-4B13-8FBF-1F12EA44652D}"/>
            </c:ext>
          </c:extLst>
        </c:ser>
        <c:ser>
          <c:idx val="5"/>
          <c:order val="5"/>
          <c:tx>
            <c:strRef>
              <c:f>'U10m drift-fixed nets'!$B$167</c:f>
              <c:strCache>
                <c:ptCount val="1"/>
                <c:pt idx="0">
                  <c:v>Thornback Ray</c:v>
                </c:pt>
              </c:strCache>
            </c:strRef>
          </c:tx>
          <c:spPr>
            <a:solidFill>
              <a:srgbClr val="707271"/>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nets'!$C$167:$E$167</c:f>
              <c:numCache>
                <c:formatCode>0%</c:formatCode>
                <c:ptCount val="3"/>
                <c:pt idx="0">
                  <c:v>0</c:v>
                </c:pt>
                <c:pt idx="1">
                  <c:v>0</c:v>
                </c:pt>
                <c:pt idx="2">
                  <c:v>0.11165307777451668</c:v>
                </c:pt>
              </c:numCache>
            </c:numRef>
          </c:val>
          <c:extLst>
            <c:ext xmlns:c16="http://schemas.microsoft.com/office/drawing/2014/chart" uri="{C3380CC4-5D6E-409C-BE32-E72D297353CC}">
              <c16:uniqueId val="{00000005-D0DB-4B13-8FBF-1F12EA44652D}"/>
            </c:ext>
          </c:extLst>
        </c:ser>
        <c:ser>
          <c:idx val="6"/>
          <c:order val="6"/>
          <c:tx>
            <c:strRef>
              <c:f>'U10m drift-fixed nets'!$B$168</c:f>
              <c:strCache>
                <c:ptCount val="1"/>
                <c:pt idx="0">
                  <c:v>Sole</c:v>
                </c:pt>
              </c:strCache>
            </c:strRef>
          </c:tx>
          <c:spPr>
            <a:solidFill>
              <a:srgbClr val="2273B9"/>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nets'!$C$168:$E$168</c:f>
              <c:numCache>
                <c:formatCode>0%</c:formatCode>
                <c:ptCount val="3"/>
                <c:pt idx="0">
                  <c:v>3.3561165300407973E-2</c:v>
                </c:pt>
                <c:pt idx="1">
                  <c:v>0</c:v>
                </c:pt>
                <c:pt idx="2">
                  <c:v>8.2430435260778229E-2</c:v>
                </c:pt>
              </c:numCache>
            </c:numRef>
          </c:val>
          <c:extLst>
            <c:ext xmlns:c16="http://schemas.microsoft.com/office/drawing/2014/chart" uri="{C3380CC4-5D6E-409C-BE32-E72D297353CC}">
              <c16:uniqueId val="{00000006-D0DB-4B13-8FBF-1F12EA44652D}"/>
            </c:ext>
          </c:extLst>
        </c:ser>
        <c:ser>
          <c:idx val="7"/>
          <c:order val="7"/>
          <c:tx>
            <c:strRef>
              <c:f>'U10m drift-fixed nets'!$B$169</c:f>
              <c:strCache>
                <c:ptCount val="1"/>
                <c:pt idx="0">
                  <c:v>Bass</c:v>
                </c:pt>
              </c:strCache>
            </c:strRef>
          </c:tx>
          <c:spPr>
            <a:solidFill>
              <a:srgbClr val="E87308"/>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nets'!$C$169:$E$169</c:f>
              <c:numCache>
                <c:formatCode>0%</c:formatCode>
                <c:ptCount val="3"/>
                <c:pt idx="0">
                  <c:v>0</c:v>
                </c:pt>
                <c:pt idx="1">
                  <c:v>0</c:v>
                </c:pt>
                <c:pt idx="2">
                  <c:v>6.5296463294707924E-2</c:v>
                </c:pt>
              </c:numCache>
            </c:numRef>
          </c:val>
          <c:extLst>
            <c:ext xmlns:c16="http://schemas.microsoft.com/office/drawing/2014/chart" uri="{C3380CC4-5D6E-409C-BE32-E72D297353CC}">
              <c16:uniqueId val="{00000007-D0DB-4B13-8FBF-1F12EA44652D}"/>
            </c:ext>
          </c:extLst>
        </c:ser>
        <c:ser>
          <c:idx val="8"/>
          <c:order val="8"/>
          <c:tx>
            <c:strRef>
              <c:f>'U10m drift-fixed nets'!$B$170</c:f>
              <c:strCache>
                <c:ptCount val="1"/>
                <c:pt idx="0">
                  <c:v>Cuttlefish</c:v>
                </c:pt>
              </c:strCache>
            </c:strRef>
          </c:tx>
          <c:spPr>
            <a:solidFill>
              <a:srgbClr val="51AA81"/>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nets'!$C$170:$E$170</c:f>
              <c:numCache>
                <c:formatCode>0%</c:formatCode>
                <c:ptCount val="3"/>
                <c:pt idx="0">
                  <c:v>0</c:v>
                </c:pt>
                <c:pt idx="1">
                  <c:v>0</c:v>
                </c:pt>
                <c:pt idx="2">
                  <c:v>5.2345619788519537E-2</c:v>
                </c:pt>
              </c:numCache>
            </c:numRef>
          </c:val>
          <c:extLst>
            <c:ext xmlns:c16="http://schemas.microsoft.com/office/drawing/2014/chart" uri="{C3380CC4-5D6E-409C-BE32-E72D297353CC}">
              <c16:uniqueId val="{00000008-D0DB-4B13-8FBF-1F12EA44652D}"/>
            </c:ext>
          </c:extLst>
        </c:ser>
        <c:ser>
          <c:idx val="9"/>
          <c:order val="9"/>
          <c:tx>
            <c:strRef>
              <c:f>'U10m drift-fixed nets'!$B$171</c:f>
              <c:strCache>
                <c:ptCount val="1"/>
                <c:pt idx="0">
                  <c:v>Blonde Ray</c:v>
                </c:pt>
              </c:strCache>
            </c:strRef>
          </c:tx>
          <c:spPr>
            <a:solidFill>
              <a:srgbClr val="169FDB"/>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nets'!$C$171:$E$171</c:f>
              <c:numCache>
                <c:formatCode>0%</c:formatCode>
                <c:ptCount val="3"/>
                <c:pt idx="0">
                  <c:v>2.9358617618895716E-2</c:v>
                </c:pt>
                <c:pt idx="1">
                  <c:v>0</c:v>
                </c:pt>
                <c:pt idx="2">
                  <c:v>0</c:v>
                </c:pt>
              </c:numCache>
            </c:numRef>
          </c:val>
          <c:extLst>
            <c:ext xmlns:c16="http://schemas.microsoft.com/office/drawing/2014/chart" uri="{C3380CC4-5D6E-409C-BE32-E72D297353CC}">
              <c16:uniqueId val="{00000009-D0DB-4B13-8FBF-1F12EA44652D}"/>
            </c:ext>
          </c:extLst>
        </c:ser>
        <c:ser>
          <c:idx val="10"/>
          <c:order val="10"/>
          <c:tx>
            <c:strRef>
              <c:f>'U10m drift-fixed nets'!$B$172</c:f>
              <c:strCache>
                <c:ptCount val="1"/>
                <c:pt idx="0">
                  <c:v>Others</c:v>
                </c:pt>
              </c:strCache>
            </c:strRef>
          </c:tx>
          <c:spPr>
            <a:solidFill>
              <a:srgbClr val="55585A"/>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nets'!$C$172:$E$172</c:f>
              <c:numCache>
                <c:formatCode>0%</c:formatCode>
                <c:ptCount val="3"/>
                <c:pt idx="0">
                  <c:v>0.81402107549342562</c:v>
                </c:pt>
                <c:pt idx="1">
                  <c:v>0.21975762364450002</c:v>
                </c:pt>
                <c:pt idx="2">
                  <c:v>0.27317216366932051</c:v>
                </c:pt>
              </c:numCache>
            </c:numRef>
          </c:val>
          <c:extLst>
            <c:ext xmlns:c16="http://schemas.microsoft.com/office/drawing/2014/chart" uri="{C3380CC4-5D6E-409C-BE32-E72D297353CC}">
              <c16:uniqueId val="{0000000A-D0DB-4B13-8FBF-1F12EA44652D}"/>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'U10m drift-fixed nets'!$H$162</c:f>
              <c:strCache>
                <c:ptCount val="1"/>
                <c:pt idx="0">
                  <c:v>Sole</c:v>
                </c:pt>
              </c:strCache>
            </c:strRef>
          </c:tx>
          <c:spPr>
            <a:solidFill>
              <a:srgbClr val="2273B9"/>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nets'!$I$162:$K$162</c:f>
              <c:numCache>
                <c:formatCode>0%</c:formatCode>
                <c:ptCount val="3"/>
                <c:pt idx="0">
                  <c:v>8.770865591881527E-2</c:v>
                </c:pt>
                <c:pt idx="1">
                  <c:v>0.26771688332975296</c:v>
                </c:pt>
                <c:pt idx="2">
                  <c:v>0.2526376467522955</c:v>
                </c:pt>
              </c:numCache>
            </c:numRef>
          </c:val>
          <c:extLst>
            <c:ext xmlns:c16="http://schemas.microsoft.com/office/drawing/2014/chart" uri="{C3380CC4-5D6E-409C-BE32-E72D297353CC}">
              <c16:uniqueId val="{00000000-7851-45A8-89E5-77BA54EEB6B4}"/>
            </c:ext>
          </c:extLst>
        </c:ser>
        <c:ser>
          <c:idx val="1"/>
          <c:order val="1"/>
          <c:tx>
            <c:strRef>
              <c:f>'U10m drift-fixed nets'!$H$163</c:f>
              <c:strCache>
                <c:ptCount val="1"/>
                <c:pt idx="0">
                  <c:v>Pollack</c:v>
                </c:pt>
              </c:strCache>
            </c:strRef>
          </c:tx>
          <c:spPr>
            <a:solidFill>
              <a:srgbClr val="648C2E"/>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nets'!$I$163:$K$163</c:f>
              <c:numCache>
                <c:formatCode>0%</c:formatCode>
                <c:ptCount val="3"/>
                <c:pt idx="0">
                  <c:v>2.5588352324180923E-2</c:v>
                </c:pt>
                <c:pt idx="1">
                  <c:v>0.1283850417624095</c:v>
                </c:pt>
                <c:pt idx="2">
                  <c:v>4.7535610235377612E-2</c:v>
                </c:pt>
              </c:numCache>
            </c:numRef>
          </c:val>
          <c:extLst>
            <c:ext xmlns:c16="http://schemas.microsoft.com/office/drawing/2014/chart" uri="{C3380CC4-5D6E-409C-BE32-E72D297353CC}">
              <c16:uniqueId val="{00000001-7851-45A8-89E5-77BA54EEB6B4}"/>
            </c:ext>
          </c:extLst>
        </c:ser>
        <c:ser>
          <c:idx val="2"/>
          <c:order val="2"/>
          <c:tx>
            <c:strRef>
              <c:f>'U10m drift-fixed nets'!$H$164</c:f>
              <c:strCache>
                <c:ptCount val="1"/>
                <c:pt idx="0">
                  <c:v>Bass</c:v>
                </c:pt>
              </c:strCache>
            </c:strRef>
          </c:tx>
          <c:spPr>
            <a:solidFill>
              <a:srgbClr val="E87308"/>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nets'!$I$164:$K$164</c:f>
              <c:numCache>
                <c:formatCode>0%</c:formatCode>
                <c:ptCount val="3"/>
                <c:pt idx="0">
                  <c:v>4.022962058993363E-2</c:v>
                </c:pt>
                <c:pt idx="1">
                  <c:v>0.12814295124246564</c:v>
                </c:pt>
                <c:pt idx="2">
                  <c:v>0.18826047684076369</c:v>
                </c:pt>
              </c:numCache>
            </c:numRef>
          </c:val>
          <c:extLst>
            <c:ext xmlns:c16="http://schemas.microsoft.com/office/drawing/2014/chart" uri="{C3380CC4-5D6E-409C-BE32-E72D297353CC}">
              <c16:uniqueId val="{00000002-7851-45A8-89E5-77BA54EEB6B4}"/>
            </c:ext>
          </c:extLst>
        </c:ser>
        <c:ser>
          <c:idx val="3"/>
          <c:order val="3"/>
          <c:tx>
            <c:strRef>
              <c:f>'U10m drift-fixed nets'!$H$165</c:f>
              <c:strCache>
                <c:ptCount val="1"/>
                <c:pt idx="0">
                  <c:v>Cockles</c:v>
                </c:pt>
              </c:strCache>
            </c:strRef>
          </c:tx>
          <c:spPr>
            <a:solidFill>
              <a:srgbClr val="E84A38"/>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nets'!$I$165:$K$165</c:f>
              <c:numCache>
                <c:formatCode>0%</c:formatCode>
                <c:ptCount val="3"/>
                <c:pt idx="0">
                  <c:v>0</c:v>
                </c:pt>
                <c:pt idx="1">
                  <c:v>9.8809735595492193E-2</c:v>
                </c:pt>
                <c:pt idx="2">
                  <c:v>0</c:v>
                </c:pt>
              </c:numCache>
            </c:numRef>
          </c:val>
          <c:extLst>
            <c:ext xmlns:c16="http://schemas.microsoft.com/office/drawing/2014/chart" uri="{C3380CC4-5D6E-409C-BE32-E72D297353CC}">
              <c16:uniqueId val="{00000003-7851-45A8-89E5-77BA54EEB6B4}"/>
            </c:ext>
          </c:extLst>
        </c:ser>
        <c:ser>
          <c:idx val="4"/>
          <c:order val="4"/>
          <c:tx>
            <c:strRef>
              <c:f>'U10m drift-fixed nets'!$H$166</c:f>
              <c:strCache>
                <c:ptCount val="1"/>
                <c:pt idx="0">
                  <c:v>Brown Crab</c:v>
                </c:pt>
              </c:strCache>
            </c:strRef>
          </c:tx>
          <c:spPr>
            <a:solidFill>
              <a:srgbClr val="FED825"/>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nets'!$I$166:$K$166</c:f>
              <c:numCache>
                <c:formatCode>0%</c:formatCode>
                <c:ptCount val="3"/>
                <c:pt idx="0">
                  <c:v>0</c:v>
                </c:pt>
                <c:pt idx="1">
                  <c:v>7.9145102813515417E-2</c:v>
                </c:pt>
                <c:pt idx="2">
                  <c:v>0</c:v>
                </c:pt>
              </c:numCache>
            </c:numRef>
          </c:val>
          <c:extLst>
            <c:ext xmlns:c16="http://schemas.microsoft.com/office/drawing/2014/chart" uri="{C3380CC4-5D6E-409C-BE32-E72D297353CC}">
              <c16:uniqueId val="{00000004-7851-45A8-89E5-77BA54EEB6B4}"/>
            </c:ext>
          </c:extLst>
        </c:ser>
        <c:ser>
          <c:idx val="5"/>
          <c:order val="5"/>
          <c:tx>
            <c:strRef>
              <c:f>'U10m drift-fixed nets'!$H$167</c:f>
              <c:strCache>
                <c:ptCount val="1"/>
                <c:pt idx="0">
                  <c:v>Whelks</c:v>
                </c:pt>
              </c:strCache>
            </c:strRef>
          </c:tx>
          <c:spPr>
            <a:solidFill>
              <a:srgbClr val="C1D119"/>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nets'!$I$167:$K$167</c:f>
              <c:numCache>
                <c:formatCode>0%</c:formatCode>
                <c:ptCount val="3"/>
                <c:pt idx="0">
                  <c:v>0</c:v>
                </c:pt>
                <c:pt idx="1">
                  <c:v>0</c:v>
                </c:pt>
                <c:pt idx="2">
                  <c:v>0.1863577758788284</c:v>
                </c:pt>
              </c:numCache>
            </c:numRef>
          </c:val>
          <c:extLst>
            <c:ext xmlns:c16="http://schemas.microsoft.com/office/drawing/2014/chart" uri="{C3380CC4-5D6E-409C-BE32-E72D297353CC}">
              <c16:uniqueId val="{00000005-7851-45A8-89E5-77BA54EEB6B4}"/>
            </c:ext>
          </c:extLst>
        </c:ser>
        <c:ser>
          <c:idx val="6"/>
          <c:order val="6"/>
          <c:tx>
            <c:strRef>
              <c:f>'U10m drift-fixed nets'!$H$168</c:f>
              <c:strCache>
                <c:ptCount val="1"/>
                <c:pt idx="0">
                  <c:v>Thornback Ray</c:v>
                </c:pt>
              </c:strCache>
            </c:strRef>
          </c:tx>
          <c:spPr>
            <a:solidFill>
              <a:srgbClr val="707271"/>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nets'!$I$168:$K$168</c:f>
              <c:numCache>
                <c:formatCode>0%</c:formatCode>
                <c:ptCount val="3"/>
                <c:pt idx="0">
                  <c:v>0</c:v>
                </c:pt>
                <c:pt idx="1">
                  <c:v>0</c:v>
                </c:pt>
                <c:pt idx="2">
                  <c:v>5.0256631468283651E-2</c:v>
                </c:pt>
              </c:numCache>
            </c:numRef>
          </c:val>
          <c:extLst>
            <c:ext xmlns:c16="http://schemas.microsoft.com/office/drawing/2014/chart" uri="{C3380CC4-5D6E-409C-BE32-E72D297353CC}">
              <c16:uniqueId val="{00000006-7851-45A8-89E5-77BA54EEB6B4}"/>
            </c:ext>
          </c:extLst>
        </c:ser>
        <c:ser>
          <c:idx val="7"/>
          <c:order val="7"/>
          <c:tx>
            <c:strRef>
              <c:f>'U10m drift-fixed nets'!$H$169</c:f>
              <c:strCache>
                <c:ptCount val="1"/>
                <c:pt idx="0">
                  <c:v>Lobsters</c:v>
                </c:pt>
              </c:strCache>
            </c:strRef>
          </c:tx>
          <c:spPr>
            <a:solidFill>
              <a:srgbClr val="E40D2C"/>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nets'!$I$169:$K$169</c:f>
              <c:numCache>
                <c:formatCode>0%</c:formatCode>
                <c:ptCount val="3"/>
                <c:pt idx="0">
                  <c:v>1.2282039302355351E-2</c:v>
                </c:pt>
                <c:pt idx="1">
                  <c:v>0</c:v>
                </c:pt>
                <c:pt idx="2">
                  <c:v>0</c:v>
                </c:pt>
              </c:numCache>
            </c:numRef>
          </c:val>
          <c:extLst>
            <c:ext xmlns:c16="http://schemas.microsoft.com/office/drawing/2014/chart" uri="{C3380CC4-5D6E-409C-BE32-E72D297353CC}">
              <c16:uniqueId val="{00000007-7851-45A8-89E5-77BA54EEB6B4}"/>
            </c:ext>
          </c:extLst>
        </c:ser>
        <c:ser>
          <c:idx val="8"/>
          <c:order val="8"/>
          <c:tx>
            <c:strRef>
              <c:f>'U10m drift-fixed nets'!$H$170</c:f>
              <c:strCache>
                <c:ptCount val="1"/>
                <c:pt idx="0">
                  <c:v>Blonde Ray</c:v>
                </c:pt>
              </c:strCache>
            </c:strRef>
          </c:tx>
          <c:spPr>
            <a:solidFill>
              <a:srgbClr val="169FDB"/>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nets'!$I$170:$K$170</c:f>
              <c:numCache>
                <c:formatCode>0%</c:formatCode>
                <c:ptCount val="3"/>
                <c:pt idx="0">
                  <c:v>1.1351161386998347E-2</c:v>
                </c:pt>
                <c:pt idx="1">
                  <c:v>0</c:v>
                </c:pt>
                <c:pt idx="2">
                  <c:v>0</c:v>
                </c:pt>
              </c:numCache>
            </c:numRef>
          </c:val>
          <c:extLst>
            <c:ext xmlns:c16="http://schemas.microsoft.com/office/drawing/2014/chart" uri="{C3380CC4-5D6E-409C-BE32-E72D297353CC}">
              <c16:uniqueId val="{00000008-7851-45A8-89E5-77BA54EEB6B4}"/>
            </c:ext>
          </c:extLst>
        </c:ser>
        <c:ser>
          <c:idx val="9"/>
          <c:order val="9"/>
          <c:tx>
            <c:strRef>
              <c:f>'U10m drift-fixed nets'!$H$171</c:f>
              <c:strCache>
                <c:ptCount val="1"/>
                <c:pt idx="0">
                  <c:v>Others</c:v>
                </c:pt>
              </c:strCache>
            </c:strRef>
          </c:tx>
          <c:spPr>
            <a:solidFill>
              <a:srgbClr val="55585A"/>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nets'!$I$171:$K$171</c:f>
              <c:numCache>
                <c:formatCode>0%</c:formatCode>
                <c:ptCount val="3"/>
                <c:pt idx="0">
                  <c:v>0.82284017047771651</c:v>
                </c:pt>
                <c:pt idx="1">
                  <c:v>0.29780028525636426</c:v>
                </c:pt>
                <c:pt idx="2">
                  <c:v>0.27495185882445128</c:v>
                </c:pt>
              </c:numCache>
            </c:numRef>
          </c:val>
          <c:extLst>
            <c:ext xmlns:c16="http://schemas.microsoft.com/office/drawing/2014/chart" uri="{C3380CC4-5D6E-409C-BE32-E72D297353CC}">
              <c16:uniqueId val="{00000009-7851-45A8-89E5-77BA54EEB6B4}"/>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'U10m drift-fixed nets'!$K$139</c:f>
              <c:strCache>
                <c:ptCount val="1"/>
                <c:pt idx="0">
                  <c:v>Total income</c:v>
                </c:pt>
              </c:strCache>
            </c:strRef>
          </c:tx>
          <c:spPr>
            <a:solidFill>
              <a:srgbClr val="087CBB"/>
            </a:solidFill>
            <a:ln>
              <a:solidFill>
                <a:schemeClr val="accent1"/>
              </a:solidFill>
            </a:ln>
          </c:spPr>
          <c:invertIfNegative val="0"/>
          <c:cat>
            <c:strRef>
              <c:f>'U10m drift-fixed nets'!$L$138:$N$138</c:f>
              <c:strCache>
                <c:ptCount val="3"/>
                <c:pt idx="0">
                  <c:v>Most
profitable
quartile</c:v>
                </c:pt>
                <c:pt idx="1">
                  <c:v>Middle
two quartiles</c:v>
                </c:pt>
                <c:pt idx="2">
                  <c:v>Least
profitable
quartile</c:v>
                </c:pt>
              </c:strCache>
            </c:strRef>
          </c:cat>
          <c:val>
            <c:numRef>
              <c:f>'U10m drift-fixed nets'!$L$139:$N$139</c:f>
              <c:numCache>
                <c:formatCode>#,##0</c:formatCode>
                <c:ptCount val="3"/>
                <c:pt idx="0">
                  <c:v>66.553585937500003</c:v>
                </c:pt>
                <c:pt idx="1">
                  <c:v>39.058129873143599</c:v>
                </c:pt>
                <c:pt idx="2">
                  <c:v>28.952830078125</c:v>
                </c:pt>
              </c:numCache>
            </c:numRef>
          </c:val>
          <c:extLst>
            <c:ext xmlns:c16="http://schemas.microsoft.com/office/drawing/2014/chart" uri="{C3380CC4-5D6E-409C-BE32-E72D297353CC}">
              <c16:uniqueId val="{00000000-9091-42D5-9035-CD44AD58B87D}"/>
            </c:ext>
          </c:extLst>
        </c:ser>
        <c:ser>
          <c:idx val="1"/>
          <c:order val="1"/>
          <c:tx>
            <c:strRef>
              <c:f>'U10m drift-fixed nets'!$K$140</c:f>
              <c:strCache>
                <c:ptCount val="1"/>
                <c:pt idx="0">
                  <c:v>Operating costs</c:v>
                </c:pt>
              </c:strCache>
            </c:strRef>
          </c:tx>
          <c:spPr>
            <a:solidFill>
              <a:srgbClr val="E87308"/>
            </a:solidFill>
          </c:spPr>
          <c:invertIfNegative val="0"/>
          <c:cat>
            <c:strRef>
              <c:f>'U10m drift-fixed nets'!$L$138:$N$138</c:f>
              <c:strCache>
                <c:ptCount val="3"/>
                <c:pt idx="0">
                  <c:v>Most
profitable
quartile</c:v>
                </c:pt>
                <c:pt idx="1">
                  <c:v>Middle
two quartiles</c:v>
                </c:pt>
                <c:pt idx="2">
                  <c:v>Least
profitable
quartile</c:v>
                </c:pt>
              </c:strCache>
            </c:strRef>
          </c:cat>
          <c:val>
            <c:numRef>
              <c:f>'U10m drift-fixed nets'!$L$140:$N$140</c:f>
              <c:numCache>
                <c:formatCode>#,##0</c:formatCode>
                <c:ptCount val="3"/>
                <c:pt idx="0">
                  <c:v>40.155671875000003</c:v>
                </c:pt>
                <c:pt idx="1">
                  <c:v>25.703340230507401</c:v>
                </c:pt>
                <c:pt idx="2">
                  <c:v>21.960892578125002</c:v>
                </c:pt>
              </c:numCache>
            </c:numRef>
          </c:val>
          <c:extLst>
            <c:ext xmlns:c16="http://schemas.microsoft.com/office/drawing/2014/chart" uri="{C3380CC4-5D6E-409C-BE32-E72D297353CC}">
              <c16:uniqueId val="{00000001-9091-42D5-9035-CD44AD58B87D}"/>
            </c:ext>
          </c:extLst>
        </c:ser>
        <c:ser>
          <c:idx val="2"/>
          <c:order val="2"/>
          <c:tx>
            <c:strRef>
              <c:f>'U10m drift-fixed nets'!$K$141</c:f>
              <c:strCache>
                <c:ptCount val="1"/>
                <c:pt idx="0">
                  <c:v>Operating profit</c:v>
                </c:pt>
              </c:strCache>
            </c:strRef>
          </c:tx>
          <c:spPr>
            <a:solidFill>
              <a:srgbClr val="51AA81"/>
            </a:solidFill>
          </c:spPr>
          <c:invertIfNegative val="0"/>
          <c:cat>
            <c:strRef>
              <c:f>'U10m drift-fixed nets'!$L$138:$N$138</c:f>
              <c:strCache>
                <c:ptCount val="3"/>
                <c:pt idx="0">
                  <c:v>Most
profitable
quartile</c:v>
                </c:pt>
                <c:pt idx="1">
                  <c:v>Middle
two quartiles</c:v>
                </c:pt>
                <c:pt idx="2">
                  <c:v>Least
profitable
quartile</c:v>
                </c:pt>
              </c:strCache>
            </c:strRef>
          </c:cat>
          <c:val>
            <c:numRef>
              <c:f>'U10m drift-fixed nets'!$L$141:$N$141</c:f>
              <c:numCache>
                <c:formatCode>#,##0</c:formatCode>
                <c:ptCount val="3"/>
                <c:pt idx="0">
                  <c:v>26.3979140625</c:v>
                </c:pt>
                <c:pt idx="1">
                  <c:v>13.354789642636099</c:v>
                </c:pt>
                <c:pt idx="2">
                  <c:v>6.9919374999999997</c:v>
                </c:pt>
              </c:numCache>
            </c:numRef>
          </c:val>
          <c:extLst>
            <c:ext xmlns:c16="http://schemas.microsoft.com/office/drawing/2014/chart" uri="{C3380CC4-5D6E-409C-BE32-E72D297353CC}">
              <c16:uniqueId val="{00000002-9091-42D5-9035-CD44AD58B87D}"/>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'U10m drift-fixed nets'!$K$142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traps'!$A$48</c:f>
          <c:strCache>
            <c:ptCount val="1"/>
            <c:pt idx="0">
              <c:v>Landings per kW day at sea (kg)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2BB0-4E9B-8579-FEF7FD798B29}"/>
              </c:ext>
            </c:extLst>
          </c:dPt>
          <c:dPt>
            <c:idx val="10"/>
            <c:bubble3D val="0"/>
            <c:spPr>
              <a:ln w="57150">
                <a:solidFill>
                  <a:srgbClr val="2273B9"/>
                </a:solidFill>
                <a:prstDash val="sysDot"/>
              </a:ln>
            </c:spPr>
            <c:extLst>
              <c:ext xmlns:c16="http://schemas.microsoft.com/office/drawing/2014/chart" uri="{C3380CC4-5D6E-409C-BE32-E72D297353CC}">
                <c16:uniqueId val="{00000003-2BB0-4E9B-8579-FEF7FD798B29}"/>
              </c:ext>
            </c:extLst>
          </c:dPt>
          <c:cat>
            <c:numRef>
              <c:f>'U10m pots and traps'!$D$2:$N$2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'U10m pots and traps'!$D$21:$N$21</c:f>
              <c:numCache>
                <c:formatCode>#,##0.00</c:formatCode>
                <c:ptCount val="11"/>
                <c:pt idx="0">
                  <c:v>2.3015224651299344</c:v>
                </c:pt>
                <c:pt idx="1">
                  <c:v>2.6387625670278583</c:v>
                </c:pt>
                <c:pt idx="2">
                  <c:v>2.7986422073965769</c:v>
                </c:pt>
                <c:pt idx="3">
                  <c:v>2.4366922165614433</c:v>
                </c:pt>
                <c:pt idx="4">
                  <c:v>2.1620165451187079</c:v>
                </c:pt>
                <c:pt idx="5">
                  <c:v>2.4299966668068342</c:v>
                </c:pt>
                <c:pt idx="6">
                  <c:v>3.1662273423551111</c:v>
                </c:pt>
                <c:pt idx="7">
                  <c:v>2.6927146451191386</c:v>
                </c:pt>
                <c:pt idx="8">
                  <c:v>2.8145445483102645</c:v>
                </c:pt>
                <c:pt idx="9">
                  <c:v>2.8002414689489772</c:v>
                </c:pt>
                <c:pt idx="10">
                  <c:v>2.6254758430958645</c:v>
                </c:pt>
              </c:numCache>
            </c:numRef>
          </c:val>
          <c:smooth val="0"/>
          <c:extLst>
            <c:ext xmlns:c16="http://schemas.microsoft.com/office/drawing/2014/chart" uri="{C3380CC4-5D6E-409C-BE32-E72D297353CC}">
              <c16:uniqueId val="{00000004-2BB0-4E9B-8579-FEF7FD798B29}"/>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traps'!$A$49</c:f>
          <c:strCache>
            <c:ptCount val="1"/>
            <c:pt idx="0">
              <c:v>Fishing income per kW day at sea (£)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C700-43E8-9A71-0CDD0500B5C3}"/>
              </c:ext>
            </c:extLst>
          </c:dPt>
          <c:dPt>
            <c:idx val="10"/>
            <c:bubble3D val="0"/>
            <c:spPr>
              <a:ln w="57150">
                <a:solidFill>
                  <a:srgbClr val="648C2E"/>
                </a:solidFill>
                <a:prstDash val="sysDot"/>
              </a:ln>
            </c:spPr>
            <c:extLst>
              <c:ext xmlns:c16="http://schemas.microsoft.com/office/drawing/2014/chart" uri="{C3380CC4-5D6E-409C-BE32-E72D297353CC}">
                <c16:uniqueId val="{00000003-C700-43E8-9A71-0CDD0500B5C3}"/>
              </c:ext>
            </c:extLst>
          </c:dPt>
          <c:cat>
            <c:numRef>
              <c:f>'U10m pots and traps'!$D$2:$N$2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'U10m pots and traps'!$D$22:$N$22</c:f>
              <c:numCache>
                <c:formatCode>#,##0.00</c:formatCode>
                <c:ptCount val="11"/>
                <c:pt idx="0">
                  <c:v>6.6322805444589301</c:v>
                </c:pt>
                <c:pt idx="1">
                  <c:v>6.5507034810129703</c:v>
                </c:pt>
                <c:pt idx="2">
                  <c:v>6.39962780847058</c:v>
                </c:pt>
                <c:pt idx="3">
                  <c:v>5.9517809327665203</c:v>
                </c:pt>
                <c:pt idx="4">
                  <c:v>5.2908384065393097</c:v>
                </c:pt>
                <c:pt idx="5">
                  <c:v>6.63542770585632</c:v>
                </c:pt>
                <c:pt idx="6">
                  <c:v>9.3796240453339106</c:v>
                </c:pt>
                <c:pt idx="7">
                  <c:v>10.0637453294268</c:v>
                </c:pt>
                <c:pt idx="8">
                  <c:v>10.204268589332299</c:v>
                </c:pt>
                <c:pt idx="9">
                  <c:v>8.5472284194698904</c:v>
                </c:pt>
                <c:pt idx="10">
                  <c:v>9.9194832459086744</c:v>
                </c:pt>
              </c:numCache>
            </c:numRef>
          </c:val>
          <c:smooth val="0"/>
          <c:extLst>
            <c:ext xmlns:c16="http://schemas.microsoft.com/office/drawing/2014/chart" uri="{C3380CC4-5D6E-409C-BE32-E72D297353CC}">
              <c16:uniqueId val="{00000004-C700-43E8-9A71-0CDD0500B5C3}"/>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traps'!$B$62</c:f>
          <c:strCache>
            <c:ptCount val="1"/>
            <c:pt idx="0">
              <c:v>Total cost per kW day at sea (£)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A6C2-4332-98F3-6F9D771C15CC}"/>
              </c:ext>
            </c:extLst>
          </c:dPt>
          <c:dPt>
            <c:idx val="10"/>
            <c:bubble3D val="0"/>
            <c:spPr>
              <a:ln w="57150">
                <a:solidFill>
                  <a:srgbClr val="087CBB"/>
                </a:solidFill>
                <a:prstDash val="sysDot"/>
              </a:ln>
            </c:spPr>
            <c:extLst>
              <c:ext xmlns:c16="http://schemas.microsoft.com/office/drawing/2014/chart" uri="{C3380CC4-5D6E-409C-BE32-E72D297353CC}">
                <c16:uniqueId val="{00000003-A6C2-4332-98F3-6F9D771C15CC}"/>
              </c:ext>
            </c:extLst>
          </c:dPt>
          <c:cat>
            <c:numRef>
              <c:f>'U10m pots and traps'!$D$2:$N$2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'U10m pots and traps'!$D$23:$N$23</c:f>
              <c:numCache>
                <c:formatCode>#,##0.00</c:formatCode>
                <c:ptCount val="11"/>
                <c:pt idx="0">
                  <c:v>5.2272744422113897</c:v>
                </c:pt>
                <c:pt idx="1">
                  <c:v>5.5789487000099998</c:v>
                </c:pt>
                <c:pt idx="2">
                  <c:v>5.2463131806323098</c:v>
                </c:pt>
                <c:pt idx="3">
                  <c:v>4.9744167750745296</c:v>
                </c:pt>
                <c:pt idx="4">
                  <c:v>4.3486031771438496</c:v>
                </c:pt>
                <c:pt idx="5">
                  <c:v>4.8112052140526096</c:v>
                </c:pt>
                <c:pt idx="6">
                  <c:v>7.0175042270946699</c:v>
                </c:pt>
                <c:pt idx="7">
                  <c:v>7.3650880791861599</c:v>
                </c:pt>
                <c:pt idx="8">
                  <c:v>7.8066403548877403</c:v>
                </c:pt>
                <c:pt idx="9">
                  <c:v>7.0009089709773598</c:v>
                </c:pt>
                <c:pt idx="10">
                  <c:v>7.7283468290665489</c:v>
                </c:pt>
              </c:numCache>
            </c:numRef>
          </c:val>
          <c:smooth val="0"/>
          <c:extLst>
            <c:ext xmlns:c16="http://schemas.microsoft.com/office/drawing/2014/chart" uri="{C3380CC4-5D6E-409C-BE32-E72D297353CC}">
              <c16:uniqueId val="{00000004-A6C2-4332-98F3-6F9D771C15CC}"/>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traps'!$K$48</c:f>
          <c:strCache>
            <c:ptCount val="1"/>
            <c:pt idx="0">
              <c:v>Operating profit per kW day at sea (£)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F1EF-4ACC-B4DB-2E6C07F0768C}"/>
              </c:ext>
            </c:extLst>
          </c:dPt>
          <c:dPt>
            <c:idx val="10"/>
            <c:bubble3D val="0"/>
            <c:spPr>
              <a:ln w="57150">
                <a:solidFill>
                  <a:schemeClr val="accent3"/>
                </a:solidFill>
                <a:prstDash val="sysDot"/>
              </a:ln>
            </c:spPr>
            <c:extLst>
              <c:ext xmlns:c16="http://schemas.microsoft.com/office/drawing/2014/chart" uri="{C3380CC4-5D6E-409C-BE32-E72D297353CC}">
                <c16:uniqueId val="{00000003-F1EF-4ACC-B4DB-2E6C07F0768C}"/>
              </c:ext>
            </c:extLst>
          </c:dPt>
          <c:cat>
            <c:numRef>
              <c:f>'U10m pots and traps'!$D$2:$N$2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'U10m pots and traps'!$D$24:$N$24</c:f>
              <c:numCache>
                <c:formatCode>#,##0.00</c:formatCode>
                <c:ptCount val="11"/>
                <c:pt idx="0">
                  <c:v>1.7070837711822999</c:v>
                </c:pt>
                <c:pt idx="1">
                  <c:v>1.2828948890032901</c:v>
                </c:pt>
                <c:pt idx="2">
                  <c:v>1.4805090687257401</c:v>
                </c:pt>
                <c:pt idx="3">
                  <c:v>1.2206356119120301</c:v>
                </c:pt>
                <c:pt idx="4">
                  <c:v>1.0727429914244899</c:v>
                </c:pt>
                <c:pt idx="5">
                  <c:v>2.1721531928648798</c:v>
                </c:pt>
                <c:pt idx="6">
                  <c:v>2.5764592272715898</c:v>
                </c:pt>
                <c:pt idx="7">
                  <c:v>3.0580227905059401</c:v>
                </c:pt>
                <c:pt idx="8">
                  <c:v>2.9674291379836299</c:v>
                </c:pt>
                <c:pt idx="9">
                  <c:v>2.8352341583428</c:v>
                </c:pt>
                <c:pt idx="10">
                  <c:v>2.9672201129422628</c:v>
                </c:pt>
              </c:numCache>
            </c:numRef>
          </c:val>
          <c:smooth val="0"/>
          <c:extLst>
            <c:ext xmlns:c16="http://schemas.microsoft.com/office/drawing/2014/chart" uri="{C3380CC4-5D6E-409C-BE32-E72D297353CC}">
              <c16:uniqueId val="{00000004-F1EF-4ACC-B4DB-2E6C07F0768C}"/>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traps'!$A$50</c:f>
          <c:strCache>
            <c:ptCount val="1"/>
            <c:pt idx="0">
              <c:v>Average price per tonne landed (£)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F76B-4D2E-AB59-E76C54D082B2}"/>
              </c:ext>
            </c:extLst>
          </c:dPt>
          <c:dPt>
            <c:idx val="10"/>
            <c:bubble3D val="0"/>
            <c:spPr>
              <a:ln w="57150">
                <a:solidFill>
                  <a:schemeClr val="accent4"/>
                </a:solidFill>
                <a:prstDash val="sysDot"/>
              </a:ln>
            </c:spPr>
            <c:extLst>
              <c:ext xmlns:c16="http://schemas.microsoft.com/office/drawing/2014/chart" uri="{C3380CC4-5D6E-409C-BE32-E72D297353CC}">
                <c16:uniqueId val="{00000003-F76B-4D2E-AB59-E76C54D082B2}"/>
              </c:ext>
            </c:extLst>
          </c:dPt>
          <c:cat>
            <c:numRef>
              <c:f>'U10m pots and traps'!$D$2:$M$2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pots and traps'!$D$20:$N$20</c:f>
              <c:numCache>
                <c:formatCode>#,##0</c:formatCode>
                <c:ptCount val="11"/>
                <c:pt idx="0">
                  <c:v>2882</c:v>
                </c:pt>
                <c:pt idx="1">
                  <c:v>2482</c:v>
                </c:pt>
                <c:pt idx="2">
                  <c:v>2287</c:v>
                </c:pt>
                <c:pt idx="3">
                  <c:v>2443</c:v>
                </c:pt>
                <c:pt idx="4">
                  <c:v>2447</c:v>
                </c:pt>
                <c:pt idx="5">
                  <c:v>2731</c:v>
                </c:pt>
                <c:pt idx="6">
                  <c:v>2962</c:v>
                </c:pt>
                <c:pt idx="7">
                  <c:v>3737</c:v>
                </c:pt>
                <c:pt idx="8">
                  <c:v>3626</c:v>
                </c:pt>
                <c:pt idx="9">
                  <c:v>3052</c:v>
                </c:pt>
                <c:pt idx="10">
                  <c:v>3778</c:v>
                </c:pt>
              </c:numCache>
            </c:numRef>
          </c:val>
          <c:smooth val="0"/>
          <c:extLst>
            <c:ext xmlns:c16="http://schemas.microsoft.com/office/drawing/2014/chart" uri="{C3380CC4-5D6E-409C-BE32-E72D297353CC}">
              <c16:uniqueId val="{00000004-F76B-4D2E-AB59-E76C54D082B2}"/>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traps'!$K$62</c:f>
          <c:strCache>
            <c:ptCount val="1"/>
            <c:pt idx="0">
              <c:v>Average annual operating profit per vessel (£'000)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0EE1-4477-B923-AF62D51709CF}"/>
              </c:ext>
            </c:extLst>
          </c:dPt>
          <c:dPt>
            <c:idx val="10"/>
            <c:bubble3D val="0"/>
            <c:spPr>
              <a:ln w="57150">
                <a:solidFill>
                  <a:schemeClr val="accent5"/>
                </a:solidFill>
                <a:prstDash val="sysDot"/>
              </a:ln>
            </c:spPr>
            <c:extLst>
              <c:ext xmlns:c16="http://schemas.microsoft.com/office/drawing/2014/chart" uri="{C3380CC4-5D6E-409C-BE32-E72D297353CC}">
                <c16:uniqueId val="{00000003-0EE1-4477-B923-AF62D51709CF}"/>
              </c:ext>
            </c:extLst>
          </c:dPt>
          <c:cat>
            <c:numRef>
              <c:f>'U10m pots and traps'!$D$2:$M$2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pots and traps'!$D$37:$N$37</c:f>
              <c:numCache>
                <c:formatCode>#,##0.0</c:formatCode>
                <c:ptCount val="11"/>
                <c:pt idx="0">
                  <c:v>15</c:v>
                </c:pt>
                <c:pt idx="1">
                  <c:v>11.5</c:v>
                </c:pt>
                <c:pt idx="2">
                  <c:v>14.1</c:v>
                </c:pt>
                <c:pt idx="3">
                  <c:v>12.7</c:v>
                </c:pt>
                <c:pt idx="4">
                  <c:v>12.1</c:v>
                </c:pt>
                <c:pt idx="5">
                  <c:v>22.6</c:v>
                </c:pt>
                <c:pt idx="6">
                  <c:v>19</c:v>
                </c:pt>
                <c:pt idx="7">
                  <c:v>22</c:v>
                </c:pt>
                <c:pt idx="8">
                  <c:v>22.1</c:v>
                </c:pt>
                <c:pt idx="9">
                  <c:v>19.899999999999999</c:v>
                </c:pt>
                <c:pt idx="10">
                  <c:v>20</c:v>
                </c:pt>
              </c:numCache>
            </c:numRef>
          </c:val>
          <c:smooth val="0"/>
          <c:extLst>
            <c:ext xmlns:c16="http://schemas.microsoft.com/office/drawing/2014/chart" uri="{C3380CC4-5D6E-409C-BE32-E72D297353CC}">
              <c16:uniqueId val="{00000004-0EE1-4477-B923-AF62D51709CF}"/>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pots and traps'!$A$76</c:f>
          <c:strCache>
            <c:ptCount val="1"/>
            <c:pt idx="0">
              <c:v>Top 5 landed species by volume in 2020
Under 10m pots and traps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648C2E"/>
              </a:solidFill>
              <a:ln>
                <a:solidFill>
                  <a:srgbClr val="FFFFFF"/>
                </a:solidFill>
              </a:ln>
            </c:spPr>
            <c:extLst>
              <c:ext xmlns:c16="http://schemas.microsoft.com/office/drawing/2014/chart" uri="{C3380CC4-5D6E-409C-BE32-E72D297353CC}">
                <c16:uniqueId val="{00000001-3EA9-480D-B0D4-4370E525BEC1}"/>
              </c:ext>
            </c:extLst>
          </c:dPt>
          <c:dPt>
            <c:idx val="1"/>
            <c:bubble3D val="0"/>
            <c:spPr>
              <a:solidFill>
                <a:srgbClr val="E87308"/>
              </a:solidFill>
              <a:ln>
                <a:solidFill>
                  <a:srgbClr val="FFFFFF"/>
                </a:solidFill>
              </a:ln>
            </c:spPr>
            <c:extLst>
              <c:ext xmlns:c16="http://schemas.microsoft.com/office/drawing/2014/chart" uri="{C3380CC4-5D6E-409C-BE32-E72D297353CC}">
                <c16:uniqueId val="{00000003-3EA9-480D-B0D4-4370E525BEC1}"/>
              </c:ext>
            </c:extLst>
          </c:dPt>
          <c:dPt>
            <c:idx val="2"/>
            <c:bubble3D val="0"/>
            <c:spPr>
              <a:solidFill>
                <a:srgbClr val="2273B9"/>
              </a:solidFill>
              <a:ln>
                <a:solidFill>
                  <a:srgbClr val="FFFFFF"/>
                </a:solidFill>
              </a:ln>
            </c:spPr>
            <c:extLst>
              <c:ext xmlns:c16="http://schemas.microsoft.com/office/drawing/2014/chart" uri="{C3380CC4-5D6E-409C-BE32-E72D297353CC}">
                <c16:uniqueId val="{00000005-3EA9-480D-B0D4-4370E525BEC1}"/>
              </c:ext>
            </c:extLst>
          </c:dPt>
          <c:dPt>
            <c:idx val="3"/>
            <c:bubble3D val="0"/>
            <c:spPr>
              <a:solidFill>
                <a:srgbClr val="E84A38"/>
              </a:solidFill>
              <a:ln>
                <a:solidFill>
                  <a:srgbClr val="FFFFFF"/>
                </a:solidFill>
              </a:ln>
            </c:spPr>
            <c:extLst>
              <c:ext xmlns:c16="http://schemas.microsoft.com/office/drawing/2014/chart" uri="{C3380CC4-5D6E-409C-BE32-E72D297353CC}">
                <c16:uniqueId val="{00000007-3EA9-480D-B0D4-4370E525BEC1}"/>
              </c:ext>
            </c:extLst>
          </c:dPt>
          <c:dPt>
            <c:idx val="4"/>
            <c:bubble3D val="0"/>
            <c:spPr>
              <a:solidFill>
                <a:srgbClr val="C1D119"/>
              </a:solidFill>
              <a:ln>
                <a:solidFill>
                  <a:srgbClr val="FFFFFF"/>
                </a:solidFill>
              </a:ln>
            </c:spPr>
            <c:extLst>
              <c:ext xmlns:c16="http://schemas.microsoft.com/office/drawing/2014/chart" uri="{C3380CC4-5D6E-409C-BE32-E72D297353CC}">
                <c16:uniqueId val="{00000009-3EA9-480D-B0D4-4370E525BEC1}"/>
              </c:ext>
            </c:extLst>
          </c:dPt>
          <c:dPt>
            <c:idx val="5"/>
            <c:bubble3D val="0"/>
            <c:spPr>
              <a:solidFill>
                <a:srgbClr val="55585A"/>
              </a:solidFill>
              <a:ln>
                <a:solidFill>
                  <a:srgbClr val="FFFFFF"/>
                </a:solidFill>
              </a:ln>
            </c:spPr>
            <c:extLst>
              <c:ext xmlns:c16="http://schemas.microsoft.com/office/drawing/2014/chart" uri="{C3380CC4-5D6E-409C-BE32-E72D297353CC}">
                <c16:uniqueId val="{0000000B-3EA9-480D-B0D4-4370E525BEC1}"/>
              </c:ext>
            </c:extLst>
          </c:dPt>
          <c:cat>
            <c:strRef>
              <c:f>'U10m pots and traps'!$B$77:$B$82</c:f>
              <c:strCache>
                <c:ptCount val="6"/>
                <c:pt idx="0">
                  <c:v>Whelks - 42.9%</c:v>
                </c:pt>
                <c:pt idx="1">
                  <c:v>Brown Crab - 30.0%</c:v>
                </c:pt>
                <c:pt idx="2">
                  <c:v>Lobsters - 7.7%</c:v>
                </c:pt>
                <c:pt idx="3">
                  <c:v>Velvet Crab - 6.9%</c:v>
                </c:pt>
                <c:pt idx="4">
                  <c:v>Nephrops - 4.0%</c:v>
                </c:pt>
                <c:pt idx="5">
                  <c:v>Others - 8.5%</c:v>
                </c:pt>
              </c:strCache>
            </c:strRef>
          </c:cat>
          <c:val>
            <c:numRef>
              <c:f>'U10m pots and traps'!$C$77:$C$82</c:f>
              <c:numCache>
                <c:formatCode>0.0%</c:formatCode>
                <c:ptCount val="6"/>
                <c:pt idx="0">
                  <c:v>0.42854020870890436</c:v>
                </c:pt>
                <c:pt idx="1">
                  <c:v>0.299646250813909</c:v>
                </c:pt>
                <c:pt idx="2">
                  <c:v>7.7334064499895633E-2</c:v>
                </c:pt>
                <c:pt idx="3">
                  <c:v>6.8696097140189913E-2</c:v>
                </c:pt>
                <c:pt idx="4">
                  <c:v>4.0329584014377945E-2</c:v>
                </c:pt>
                <c:pt idx="5">
                  <c:v>8.5453794822723195E-2</c:v>
                </c:pt>
              </c:numCache>
            </c:numRef>
          </c:val>
          <c:extLst>
            <c:ext xmlns:c16="http://schemas.microsoft.com/office/drawing/2014/chart" uri="{C3380CC4-5D6E-409C-BE32-E72D297353CC}">
              <c16:uniqueId val="{0000000C-3EA9-480D-B0D4-4370E525BEC1}"/>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u250kW'!$F$76</c:f>
          <c:strCache>
            <c:ptCount val="1"/>
            <c:pt idx="0">
              <c:v>Top 5 landed species by value in 2020
Area VIIA nephrops under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3C69-4E2C-8E0B-3C508ECB08D7}"/>
              </c:ext>
            </c:extLst>
          </c:dPt>
          <c:dPt>
            <c:idx val="1"/>
            <c:bubble3D val="0"/>
            <c:spPr>
              <a:solidFill>
                <a:srgbClr val="E87308"/>
              </a:solidFill>
              <a:ln>
                <a:solidFill>
                  <a:srgbClr val="FFFFFF"/>
                </a:solidFill>
              </a:ln>
            </c:spPr>
            <c:extLst>
              <c:ext xmlns:c16="http://schemas.microsoft.com/office/drawing/2014/chart" uri="{C3380CC4-5D6E-409C-BE32-E72D297353CC}">
                <c16:uniqueId val="{00000003-3C69-4E2C-8E0B-3C508ECB08D7}"/>
              </c:ext>
            </c:extLst>
          </c:dPt>
          <c:dPt>
            <c:idx val="2"/>
            <c:bubble3D val="0"/>
            <c:spPr>
              <a:solidFill>
                <a:srgbClr val="648C2E"/>
              </a:solidFill>
              <a:ln>
                <a:solidFill>
                  <a:srgbClr val="FFFFFF"/>
                </a:solidFill>
              </a:ln>
            </c:spPr>
            <c:extLst>
              <c:ext xmlns:c16="http://schemas.microsoft.com/office/drawing/2014/chart" uri="{C3380CC4-5D6E-409C-BE32-E72D297353CC}">
                <c16:uniqueId val="{00000005-3C69-4E2C-8E0B-3C508ECB08D7}"/>
              </c:ext>
            </c:extLst>
          </c:dPt>
          <c:dPt>
            <c:idx val="3"/>
            <c:bubble3D val="0"/>
            <c:spPr>
              <a:solidFill>
                <a:srgbClr val="C1D119"/>
              </a:solidFill>
              <a:ln>
                <a:solidFill>
                  <a:srgbClr val="FFFFFF"/>
                </a:solidFill>
              </a:ln>
            </c:spPr>
            <c:extLst>
              <c:ext xmlns:c16="http://schemas.microsoft.com/office/drawing/2014/chart" uri="{C3380CC4-5D6E-409C-BE32-E72D297353CC}">
                <c16:uniqueId val="{00000007-3C69-4E2C-8E0B-3C508ECB08D7}"/>
              </c:ext>
            </c:extLst>
          </c:dPt>
          <c:dPt>
            <c:idx val="4"/>
            <c:bubble3D val="0"/>
            <c:spPr>
              <a:solidFill>
                <a:srgbClr val="E84A38"/>
              </a:solidFill>
              <a:ln>
                <a:solidFill>
                  <a:srgbClr val="FFFFFF"/>
                </a:solidFill>
              </a:ln>
            </c:spPr>
            <c:extLst>
              <c:ext xmlns:c16="http://schemas.microsoft.com/office/drawing/2014/chart" uri="{C3380CC4-5D6E-409C-BE32-E72D297353CC}">
                <c16:uniqueId val="{00000009-3C69-4E2C-8E0B-3C508ECB08D7}"/>
              </c:ext>
            </c:extLst>
          </c:dPt>
          <c:dPt>
            <c:idx val="5"/>
            <c:bubble3D val="0"/>
            <c:spPr>
              <a:solidFill>
                <a:srgbClr val="55585A"/>
              </a:solidFill>
              <a:ln>
                <a:solidFill>
                  <a:srgbClr val="FFFFFF"/>
                </a:solidFill>
              </a:ln>
            </c:spPr>
            <c:extLst>
              <c:ext xmlns:c16="http://schemas.microsoft.com/office/drawing/2014/chart" uri="{C3380CC4-5D6E-409C-BE32-E72D297353CC}">
                <c16:uniqueId val="{0000000B-3C69-4E2C-8E0B-3C508ECB08D7}"/>
              </c:ext>
            </c:extLst>
          </c:dPt>
          <c:cat>
            <c:strRef>
              <c:f>'Area VIIa nephrops u250kW'!$G$77:$G$82</c:f>
              <c:strCache>
                <c:ptCount val="6"/>
                <c:pt idx="0">
                  <c:v>Nephrops - 86.6%</c:v>
                </c:pt>
                <c:pt idx="1">
                  <c:v>Scallops - 7.6%</c:v>
                </c:pt>
                <c:pt idx="2">
                  <c:v>Anglerfish - 1.4%</c:v>
                </c:pt>
                <c:pt idx="3">
                  <c:v>Brown Crab - 0.5%</c:v>
                </c:pt>
                <c:pt idx="4">
                  <c:v>Les. Spot. Dog - 0.5%</c:v>
                </c:pt>
                <c:pt idx="5">
                  <c:v>Others - 3.4%</c:v>
                </c:pt>
              </c:strCache>
            </c:strRef>
          </c:cat>
          <c:val>
            <c:numRef>
              <c:f>'Area VIIa nephrops u250kW'!$H$77:$H$82</c:f>
              <c:numCache>
                <c:formatCode>0.0%</c:formatCode>
                <c:ptCount val="6"/>
                <c:pt idx="0">
                  <c:v>0.86580090618614092</c:v>
                </c:pt>
                <c:pt idx="1">
                  <c:v>7.6083963445201686E-2</c:v>
                </c:pt>
                <c:pt idx="2">
                  <c:v>1.366269558355754E-2</c:v>
                </c:pt>
                <c:pt idx="3">
                  <c:v>5.4309018136455642E-3</c:v>
                </c:pt>
                <c:pt idx="4">
                  <c:v>5.4188653175316903E-3</c:v>
                </c:pt>
                <c:pt idx="5">
                  <c:v>3.3602667653922502E-2</c:v>
                </c:pt>
              </c:numCache>
            </c:numRef>
          </c:val>
          <c:extLst>
            <c:ext xmlns:c16="http://schemas.microsoft.com/office/drawing/2014/chart" uri="{C3380CC4-5D6E-409C-BE32-E72D297353CC}">
              <c16:uniqueId val="{0000000C-3C69-4E2C-8E0B-3C508ECB08D7}"/>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pots and traps'!$F$76</c:f>
          <c:strCache>
            <c:ptCount val="1"/>
            <c:pt idx="0">
              <c:v>Top 5 landed species by value in 2020
Under 10m pots and traps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419D-4854-BDE8-A12CD2B61851}"/>
              </c:ext>
            </c:extLst>
          </c:dPt>
          <c:dPt>
            <c:idx val="1"/>
            <c:bubble3D val="0"/>
            <c:spPr>
              <a:solidFill>
                <a:srgbClr val="E87308"/>
              </a:solidFill>
              <a:ln>
                <a:solidFill>
                  <a:srgbClr val="FFFFFF"/>
                </a:solidFill>
              </a:ln>
            </c:spPr>
            <c:extLst>
              <c:ext xmlns:c16="http://schemas.microsoft.com/office/drawing/2014/chart" uri="{C3380CC4-5D6E-409C-BE32-E72D297353CC}">
                <c16:uniqueId val="{00000003-419D-4854-BDE8-A12CD2B61851}"/>
              </c:ext>
            </c:extLst>
          </c:dPt>
          <c:dPt>
            <c:idx val="2"/>
            <c:bubble3D val="0"/>
            <c:spPr>
              <a:solidFill>
                <a:srgbClr val="648C2E"/>
              </a:solidFill>
              <a:ln>
                <a:solidFill>
                  <a:srgbClr val="FFFFFF"/>
                </a:solidFill>
              </a:ln>
            </c:spPr>
            <c:extLst>
              <c:ext xmlns:c16="http://schemas.microsoft.com/office/drawing/2014/chart" uri="{C3380CC4-5D6E-409C-BE32-E72D297353CC}">
                <c16:uniqueId val="{00000005-419D-4854-BDE8-A12CD2B61851}"/>
              </c:ext>
            </c:extLst>
          </c:dPt>
          <c:dPt>
            <c:idx val="3"/>
            <c:bubble3D val="0"/>
            <c:spPr>
              <a:solidFill>
                <a:srgbClr val="C1D119"/>
              </a:solidFill>
              <a:ln>
                <a:solidFill>
                  <a:srgbClr val="FFFFFF"/>
                </a:solidFill>
              </a:ln>
            </c:spPr>
            <c:extLst>
              <c:ext xmlns:c16="http://schemas.microsoft.com/office/drawing/2014/chart" uri="{C3380CC4-5D6E-409C-BE32-E72D297353CC}">
                <c16:uniqueId val="{00000007-419D-4854-BDE8-A12CD2B61851}"/>
              </c:ext>
            </c:extLst>
          </c:dPt>
          <c:dPt>
            <c:idx val="4"/>
            <c:bubble3D val="0"/>
            <c:spPr>
              <a:solidFill>
                <a:srgbClr val="C1D119"/>
              </a:solidFill>
              <a:ln>
                <a:solidFill>
                  <a:srgbClr val="FFFFFF"/>
                </a:solidFill>
              </a:ln>
            </c:spPr>
            <c:extLst>
              <c:ext xmlns:c16="http://schemas.microsoft.com/office/drawing/2014/chart" uri="{C3380CC4-5D6E-409C-BE32-E72D297353CC}">
                <c16:uniqueId val="{00000009-419D-4854-BDE8-A12CD2B61851}"/>
              </c:ext>
            </c:extLst>
          </c:dPt>
          <c:dPt>
            <c:idx val="5"/>
            <c:bubble3D val="0"/>
            <c:spPr>
              <a:solidFill>
                <a:srgbClr val="55585A"/>
              </a:solidFill>
              <a:ln>
                <a:solidFill>
                  <a:srgbClr val="FFFFFF"/>
                </a:solidFill>
              </a:ln>
            </c:spPr>
            <c:extLst>
              <c:ext xmlns:c16="http://schemas.microsoft.com/office/drawing/2014/chart" uri="{C3380CC4-5D6E-409C-BE32-E72D297353CC}">
                <c16:uniqueId val="{0000000B-419D-4854-BDE8-A12CD2B61851}"/>
              </c:ext>
            </c:extLst>
          </c:dPt>
          <c:cat>
            <c:strRef>
              <c:f>'U10m pots and traps'!$G$77:$G$82</c:f>
              <c:strCache>
                <c:ptCount val="6"/>
                <c:pt idx="0">
                  <c:v>Lobsters - 33.3%</c:v>
                </c:pt>
                <c:pt idx="1">
                  <c:v>Brown Crab - 17.5%</c:v>
                </c:pt>
                <c:pt idx="2">
                  <c:v>Whelks - 17.0%</c:v>
                </c:pt>
                <c:pt idx="3">
                  <c:v>Nephrops - 12.5%</c:v>
                </c:pt>
                <c:pt idx="4">
                  <c:v>-6.00%</c:v>
                </c:pt>
                <c:pt idx="5">
                  <c:v>Others - 13.6%</c:v>
                </c:pt>
              </c:strCache>
            </c:strRef>
          </c:cat>
          <c:val>
            <c:numRef>
              <c:f>'U10m pots and traps'!$H$77:$H$82</c:f>
              <c:numCache>
                <c:formatCode>0.0%</c:formatCode>
                <c:ptCount val="6"/>
                <c:pt idx="0">
                  <c:v>0.33265528120760574</c:v>
                </c:pt>
                <c:pt idx="1">
                  <c:v>0.17529716914493748</c:v>
                </c:pt>
                <c:pt idx="2">
                  <c:v>0.17047823456675876</c:v>
                </c:pt>
                <c:pt idx="3">
                  <c:v>0.1254743513982606</c:v>
                </c:pt>
                <c:pt idx="4">
                  <c:v>6.0323147486812854E-2</c:v>
                </c:pt>
                <c:pt idx="5">
                  <c:v>0.13577181619562451</c:v>
                </c:pt>
              </c:numCache>
            </c:numRef>
          </c:val>
          <c:extLst>
            <c:ext xmlns:c16="http://schemas.microsoft.com/office/drawing/2014/chart" uri="{C3380CC4-5D6E-409C-BE32-E72D297353CC}">
              <c16:uniqueId val="{0000000C-419D-4854-BDE8-A12CD2B61851}"/>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pots and traps'!$K$77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'U10m pots and traps'!$C$92</c:f>
              <c:strCache>
                <c:ptCount val="1"/>
                <c:pt idx="0">
                  <c:v>Lobsters</c:v>
                </c:pt>
              </c:strCache>
            </c:strRef>
          </c:tx>
          <c:spPr>
            <a:solidFill>
              <a:srgbClr val="2273B9"/>
            </a:solidFill>
            <a:ln>
              <a:solidFill>
                <a:srgbClr val="FFFFFF"/>
              </a:solidFill>
            </a:ln>
          </c:spPr>
          <c:invertIfNegative val="0"/>
          <c:cat>
            <c:numRef>
              <c:f>'U10m pots and traps'!$D$91:$M$91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pots and traps'!$D$92:$M$92</c:f>
              <c:numCache>
                <c:formatCode>0%</c:formatCode>
                <c:ptCount val="10"/>
                <c:pt idx="0">
                  <c:v>0.36502556932876773</c:v>
                </c:pt>
                <c:pt idx="1">
                  <c:v>0.34003652663415679</c:v>
                </c:pt>
                <c:pt idx="2">
                  <c:v>0.36419418406921011</c:v>
                </c:pt>
                <c:pt idx="3">
                  <c:v>0.35296323450458078</c:v>
                </c:pt>
                <c:pt idx="4">
                  <c:v>0.3549799561924239</c:v>
                </c:pt>
                <c:pt idx="5">
                  <c:v>0.37001449132522973</c:v>
                </c:pt>
                <c:pt idx="6">
                  <c:v>0.34332332311956221</c:v>
                </c:pt>
                <c:pt idx="7">
                  <c:v>0.33196366762313334</c:v>
                </c:pt>
                <c:pt idx="8">
                  <c:v>0.33265528120760574</c:v>
                </c:pt>
                <c:pt idx="9">
                  <c:v>0.38575612709796275</c:v>
                </c:pt>
              </c:numCache>
            </c:numRef>
          </c:val>
          <c:extLst>
            <c:ext xmlns:c16="http://schemas.microsoft.com/office/drawing/2014/chart" uri="{C3380CC4-5D6E-409C-BE32-E72D297353CC}">
              <c16:uniqueId val="{00000000-C207-403F-AD36-959FE9D2DA8B}"/>
            </c:ext>
          </c:extLst>
        </c:ser>
        <c:ser>
          <c:idx val="1"/>
          <c:order val="1"/>
          <c:tx>
            <c:strRef>
              <c:f>'U10m pots and traps'!$C$93</c:f>
              <c:strCache>
                <c:ptCount val="1"/>
                <c:pt idx="0">
                  <c:v>Brown Crab</c:v>
                </c:pt>
              </c:strCache>
            </c:strRef>
          </c:tx>
          <c:spPr>
            <a:solidFill>
              <a:srgbClr val="E87308"/>
            </a:solidFill>
            <a:ln>
              <a:solidFill>
                <a:srgbClr val="FFFFFF"/>
              </a:solidFill>
            </a:ln>
          </c:spPr>
          <c:invertIfNegative val="0"/>
          <c:cat>
            <c:numRef>
              <c:f>'U10m pots and traps'!$D$91:$M$91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pots and traps'!$D$93:$M$93</c:f>
              <c:numCache>
                <c:formatCode>0%</c:formatCode>
                <c:ptCount val="10"/>
                <c:pt idx="0">
                  <c:v>0.19887113656414013</c:v>
                </c:pt>
                <c:pt idx="1">
                  <c:v>0.21913460467890972</c:v>
                </c:pt>
                <c:pt idx="2">
                  <c:v>0.21996905331399605</c:v>
                </c:pt>
                <c:pt idx="3">
                  <c:v>0.19513409480648133</c:v>
                </c:pt>
                <c:pt idx="4">
                  <c:v>0.18724003629137176</c:v>
                </c:pt>
                <c:pt idx="5">
                  <c:v>0.2215417344013417</c:v>
                </c:pt>
                <c:pt idx="6">
                  <c:v>0.2661791796973853</c:v>
                </c:pt>
                <c:pt idx="7">
                  <c:v>0.25243416361680987</c:v>
                </c:pt>
                <c:pt idx="8">
                  <c:v>0.17529716914493748</c:v>
                </c:pt>
                <c:pt idx="9">
                  <c:v>0.19390021287234951</c:v>
                </c:pt>
              </c:numCache>
            </c:numRef>
          </c:val>
          <c:extLst>
            <c:ext xmlns:c16="http://schemas.microsoft.com/office/drawing/2014/chart" uri="{C3380CC4-5D6E-409C-BE32-E72D297353CC}">
              <c16:uniqueId val="{00000001-C207-403F-AD36-959FE9D2DA8B}"/>
            </c:ext>
          </c:extLst>
        </c:ser>
        <c:ser>
          <c:idx val="2"/>
          <c:order val="2"/>
          <c:tx>
            <c:strRef>
              <c:f>'U10m pots and traps'!$C$94</c:f>
              <c:strCache>
                <c:ptCount val="1"/>
                <c:pt idx="0">
                  <c:v>Whelks</c:v>
                </c:pt>
              </c:strCache>
            </c:strRef>
          </c:tx>
          <c:spPr>
            <a:solidFill>
              <a:srgbClr val="648C2E"/>
            </a:solidFill>
            <a:ln>
              <a:solidFill>
                <a:srgbClr val="FFFFFF"/>
              </a:solidFill>
            </a:ln>
          </c:spPr>
          <c:invertIfNegative val="0"/>
          <c:cat>
            <c:numRef>
              <c:f>'U10m pots and traps'!$D$91:$M$91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pots and traps'!$D$94:$M$94</c:f>
              <c:numCache>
                <c:formatCode>0%</c:formatCode>
                <c:ptCount val="10"/>
                <c:pt idx="0">
                  <c:v>0.11513054749764493</c:v>
                </c:pt>
                <c:pt idx="1">
                  <c:v>0.15137428864624347</c:v>
                </c:pt>
                <c:pt idx="2">
                  <c:v>0.14810159426481262</c:v>
                </c:pt>
                <c:pt idx="3">
                  <c:v>0.16970908477680197</c:v>
                </c:pt>
                <c:pt idx="4">
                  <c:v>0.15707506835919924</c:v>
                </c:pt>
                <c:pt idx="5">
                  <c:v>0.14292730706938964</c:v>
                </c:pt>
                <c:pt idx="6">
                  <c:v>0.11895798980968077</c:v>
                </c:pt>
                <c:pt idx="7">
                  <c:v>0.13530044921453477</c:v>
                </c:pt>
                <c:pt idx="8">
                  <c:v>0.17047823456675876</c:v>
                </c:pt>
                <c:pt idx="9">
                  <c:v>0.11556809422841513</c:v>
                </c:pt>
              </c:numCache>
            </c:numRef>
          </c:val>
          <c:extLst>
            <c:ext xmlns:c16="http://schemas.microsoft.com/office/drawing/2014/chart" uri="{C3380CC4-5D6E-409C-BE32-E72D297353CC}">
              <c16:uniqueId val="{00000002-C207-403F-AD36-959FE9D2DA8B}"/>
            </c:ext>
          </c:extLst>
        </c:ser>
        <c:ser>
          <c:idx val="3"/>
          <c:order val="3"/>
          <c:tx>
            <c:strRef>
              <c:f>'U10m pots and traps'!$C$95</c:f>
              <c:strCache>
                <c:ptCount val="1"/>
                <c:pt idx="0">
                  <c:v>Nephrops</c:v>
                </c:pt>
              </c:strCache>
            </c:strRef>
          </c:tx>
          <c:spPr>
            <a:solidFill>
              <a:srgbClr val="C1D119"/>
            </a:solidFill>
            <a:ln>
              <a:solidFill>
                <a:srgbClr val="FFFFFF"/>
              </a:solidFill>
            </a:ln>
          </c:spPr>
          <c:invertIfNegative val="0"/>
          <c:cat>
            <c:numRef>
              <c:f>'U10m pots and traps'!$D$91:$M$91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pots and traps'!$D$95:$M$95</c:f>
              <c:numCache>
                <c:formatCode>0%</c:formatCode>
                <c:ptCount val="10"/>
                <c:pt idx="0">
                  <c:v>0.16247934641206993</c:v>
                </c:pt>
                <c:pt idx="1">
                  <c:v>0.15990272546177953</c:v>
                </c:pt>
                <c:pt idx="2">
                  <c:v>0.13795101368633267</c:v>
                </c:pt>
                <c:pt idx="3">
                  <c:v>0.13848288586096147</c:v>
                </c:pt>
                <c:pt idx="4">
                  <c:v>0.13288444592665466</c:v>
                </c:pt>
                <c:pt idx="5">
                  <c:v>0.12102599100790816</c:v>
                </c:pt>
                <c:pt idx="6">
                  <c:v>0.13122629878249964</c:v>
                </c:pt>
                <c:pt idx="7">
                  <c:v>0.11925742096401275</c:v>
                </c:pt>
                <c:pt idx="8">
                  <c:v>0.1254743513982606</c:v>
                </c:pt>
                <c:pt idx="9">
                  <c:v>0.11186777777952679</c:v>
                </c:pt>
              </c:numCache>
            </c:numRef>
          </c:val>
          <c:extLst>
            <c:ext xmlns:c16="http://schemas.microsoft.com/office/drawing/2014/chart" uri="{C3380CC4-5D6E-409C-BE32-E72D297353CC}">
              <c16:uniqueId val="{00000003-C207-403F-AD36-959FE9D2DA8B}"/>
            </c:ext>
          </c:extLst>
        </c:ser>
        <c:ser>
          <c:idx val="4"/>
          <c:order val="4"/>
          <c:tx>
            <c:strRef>
              <c:f>'U10m pots and traps'!$C$96</c:f>
              <c:strCache>
                <c:ptCount val="1"/>
                <c:pt idx="0">
                  <c:v>Velvet Crab</c:v>
                </c:pt>
              </c:strCache>
            </c:strRef>
          </c:tx>
          <c:spPr>
            <a:solidFill>
              <a:srgbClr val="E84A38"/>
            </a:solidFill>
            <a:ln>
              <a:solidFill>
                <a:srgbClr val="FFFFFF"/>
              </a:solidFill>
            </a:ln>
          </c:spPr>
          <c:invertIfNegative val="0"/>
          <c:cat>
            <c:numRef>
              <c:f>'U10m pots and traps'!$D$91:$M$91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pots and traps'!$D$96:$M$96</c:f>
              <c:numCache>
                <c:formatCode>0%</c:formatCode>
                <c:ptCount val="10"/>
                <c:pt idx="0">
                  <c:v>7.8410383988516227E-2</c:v>
                </c:pt>
                <c:pt idx="1">
                  <c:v>5.9482192273110968E-2</c:v>
                </c:pt>
                <c:pt idx="2">
                  <c:v>5.7562983323076494E-2</c:v>
                </c:pt>
                <c:pt idx="3">
                  <c:v>5.6248885906698916E-2</c:v>
                </c:pt>
                <c:pt idx="4">
                  <c:v>5.5268666611520821E-2</c:v>
                </c:pt>
                <c:pt idx="5">
                  <c:v>5.7635457025674929E-2</c:v>
                </c:pt>
                <c:pt idx="6">
                  <c:v>4.782274144942928E-2</c:v>
                </c:pt>
                <c:pt idx="7">
                  <c:v>4.9533016767458402E-2</c:v>
                </c:pt>
              </c:numCache>
            </c:numRef>
          </c:val>
          <c:extLst>
            <c:ext xmlns:c16="http://schemas.microsoft.com/office/drawing/2014/chart" uri="{C3380CC4-5D6E-409C-BE32-E72D297353CC}">
              <c16:uniqueId val="{00000004-C207-403F-AD36-959FE9D2DA8B}"/>
            </c:ext>
          </c:extLst>
        </c:ser>
        <c:ser>
          <c:idx val="5"/>
          <c:order val="5"/>
          <c:tx>
            <c:strRef>
              <c:f>'U10m pots and traps'!$C$97</c:f>
              <c:strCache>
                <c:ptCount val="1"/>
                <c:pt idx="0">
                  <c:v>Others</c:v>
                </c:pt>
              </c:strCache>
            </c:strRef>
          </c:tx>
          <c:spPr>
            <a:solidFill>
              <a:srgbClr val="55585A"/>
            </a:solidFill>
            <a:ln>
              <a:solidFill>
                <a:srgbClr val="FFFFFF"/>
              </a:solidFill>
            </a:ln>
          </c:spPr>
          <c:invertIfNegative val="0"/>
          <c:cat>
            <c:numRef>
              <c:f>'U10m pots and traps'!$D$91:$M$91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pots and traps'!$D$97:$M$97</c:f>
              <c:numCache>
                <c:formatCode>0%</c:formatCode>
                <c:ptCount val="10"/>
                <c:pt idx="0">
                  <c:v>8.0083016208861046E-2</c:v>
                </c:pt>
                <c:pt idx="1">
                  <c:v>7.0069662305799529E-2</c:v>
                </c:pt>
                <c:pt idx="2">
                  <c:v>7.2221171342572082E-2</c:v>
                </c:pt>
                <c:pt idx="3">
                  <c:v>8.7461814144475541E-2</c:v>
                </c:pt>
                <c:pt idx="4">
                  <c:v>0.11255182661882963</c:v>
                </c:pt>
                <c:pt idx="5">
                  <c:v>8.6855019170455836E-2</c:v>
                </c:pt>
                <c:pt idx="6">
                  <c:v>9.2490467141442823E-2</c:v>
                </c:pt>
                <c:pt idx="7">
                  <c:v>0.11151128181405086</c:v>
                </c:pt>
                <c:pt idx="8">
                  <c:v>0.13577181619562456</c:v>
                </c:pt>
                <c:pt idx="9">
                  <c:v>0.12098248695979771</c:v>
                </c:pt>
              </c:numCache>
            </c:numRef>
          </c:val>
          <c:extLst>
            <c:ext xmlns:c16="http://schemas.microsoft.com/office/drawing/2014/chart" uri="{C3380CC4-5D6E-409C-BE32-E72D297353CC}">
              <c16:uniqueId val="{00000005-C207-403F-AD36-959FE9D2DA8B}"/>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'U10m pots and traps'!$B$162</c:f>
              <c:strCache>
                <c:ptCount val="1"/>
                <c:pt idx="0">
                  <c:v>Whelks</c:v>
                </c:pt>
              </c:strCache>
            </c:strRef>
          </c:tx>
          <c:spPr>
            <a:solidFill>
              <a:srgbClr val="648C2E"/>
            </a:solidFill>
            <a:ln>
              <a:solidFill>
                <a:srgbClr val="FFFFFF"/>
              </a:solidFill>
            </a:ln>
          </c:spPr>
          <c:invertIfNegative val="0"/>
          <c:cat>
            <c:strRef>
              <c:f>'U10m pots and traps'!$C$161:$E$161</c:f>
              <c:strCache>
                <c:ptCount val="3"/>
                <c:pt idx="0">
                  <c:v>Most
profitable
quartile</c:v>
                </c:pt>
                <c:pt idx="1">
                  <c:v>Middle 
two quartiles</c:v>
                </c:pt>
                <c:pt idx="2">
                  <c:v>Least
profitable
quartile</c:v>
                </c:pt>
              </c:strCache>
            </c:strRef>
          </c:cat>
          <c:val>
            <c:numRef>
              <c:f>'U10m pots and traps'!$C$162:$E$162</c:f>
              <c:numCache>
                <c:formatCode>0%</c:formatCode>
                <c:ptCount val="3"/>
                <c:pt idx="0">
                  <c:v>7.6676127347781453E-2</c:v>
                </c:pt>
                <c:pt idx="1">
                  <c:v>0.53065533037251034</c:v>
                </c:pt>
                <c:pt idx="2">
                  <c:v>0.19862344533641638</c:v>
                </c:pt>
              </c:numCache>
            </c:numRef>
          </c:val>
          <c:extLst>
            <c:ext xmlns:c16="http://schemas.microsoft.com/office/drawing/2014/chart" uri="{C3380CC4-5D6E-409C-BE32-E72D297353CC}">
              <c16:uniqueId val="{00000000-3FB9-45CD-93A9-8A56F17046D4}"/>
            </c:ext>
          </c:extLst>
        </c:ser>
        <c:ser>
          <c:idx val="1"/>
          <c:order val="1"/>
          <c:tx>
            <c:strRef>
              <c:f>'U10m pots and traps'!$B$163</c:f>
              <c:strCache>
                <c:ptCount val="1"/>
                <c:pt idx="0">
                  <c:v>Brown Crab</c:v>
                </c:pt>
              </c:strCache>
            </c:strRef>
          </c:tx>
          <c:spPr>
            <a:solidFill>
              <a:srgbClr val="E87308"/>
            </a:solidFill>
            <a:ln>
              <a:solidFill>
                <a:srgbClr val="FFFFFF"/>
              </a:solidFill>
            </a:ln>
          </c:spPr>
          <c:invertIfNegative val="0"/>
          <c:cat>
            <c:strRef>
              <c:f>'U10m pots and traps'!$C$161:$E$161</c:f>
              <c:strCache>
                <c:ptCount val="3"/>
                <c:pt idx="0">
                  <c:v>Most
profitable
quartile</c:v>
                </c:pt>
                <c:pt idx="1">
                  <c:v>Middle 
two quartiles</c:v>
                </c:pt>
                <c:pt idx="2">
                  <c:v>Least
profitable
quartile</c:v>
                </c:pt>
              </c:strCache>
            </c:strRef>
          </c:cat>
          <c:val>
            <c:numRef>
              <c:f>'U10m pots and traps'!$C$163:$E$163</c:f>
              <c:numCache>
                <c:formatCode>0%</c:formatCode>
                <c:ptCount val="3"/>
                <c:pt idx="0">
                  <c:v>0.12936476919196016</c:v>
                </c:pt>
                <c:pt idx="1">
                  <c:v>0.25773484540398434</c:v>
                </c:pt>
                <c:pt idx="2">
                  <c:v>0.41939502065738443</c:v>
                </c:pt>
              </c:numCache>
            </c:numRef>
          </c:val>
          <c:extLst>
            <c:ext xmlns:c16="http://schemas.microsoft.com/office/drawing/2014/chart" uri="{C3380CC4-5D6E-409C-BE32-E72D297353CC}">
              <c16:uniqueId val="{00000001-3FB9-45CD-93A9-8A56F17046D4}"/>
            </c:ext>
          </c:extLst>
        </c:ser>
        <c:ser>
          <c:idx val="2"/>
          <c:order val="2"/>
          <c:tx>
            <c:strRef>
              <c:f>'U10m pots and traps'!$B$164</c:f>
              <c:strCache>
                <c:ptCount val="1"/>
                <c:pt idx="0">
                  <c:v>Lobsters</c:v>
                </c:pt>
              </c:strCache>
            </c:strRef>
          </c:tx>
          <c:spPr>
            <a:solidFill>
              <a:srgbClr val="2273B9"/>
            </a:solidFill>
            <a:ln>
              <a:solidFill>
                <a:srgbClr val="FFFFFF"/>
              </a:solidFill>
            </a:ln>
          </c:spPr>
          <c:invertIfNegative val="0"/>
          <c:cat>
            <c:strRef>
              <c:f>'U10m pots and traps'!$C$161:$E$161</c:f>
              <c:strCache>
                <c:ptCount val="3"/>
                <c:pt idx="0">
                  <c:v>Most
profitable
quartile</c:v>
                </c:pt>
                <c:pt idx="1">
                  <c:v>Middle 
two quartiles</c:v>
                </c:pt>
                <c:pt idx="2">
                  <c:v>Least
profitable
quartile</c:v>
                </c:pt>
              </c:strCache>
            </c:strRef>
          </c:cat>
          <c:val>
            <c:numRef>
              <c:f>'U10m pots and traps'!$C$164:$E$164</c:f>
              <c:numCache>
                <c:formatCode>0%</c:formatCode>
                <c:ptCount val="3"/>
                <c:pt idx="0">
                  <c:v>3.5055365752742727E-2</c:v>
                </c:pt>
                <c:pt idx="1">
                  <c:v>6.8389868035939272E-2</c:v>
                </c:pt>
                <c:pt idx="2">
                  <c:v>9.2700013059217948E-2</c:v>
                </c:pt>
              </c:numCache>
            </c:numRef>
          </c:val>
          <c:extLst>
            <c:ext xmlns:c16="http://schemas.microsoft.com/office/drawing/2014/chart" uri="{C3380CC4-5D6E-409C-BE32-E72D297353CC}">
              <c16:uniqueId val="{00000002-3FB9-45CD-93A9-8A56F17046D4}"/>
            </c:ext>
          </c:extLst>
        </c:ser>
        <c:ser>
          <c:idx val="3"/>
          <c:order val="3"/>
          <c:tx>
            <c:strRef>
              <c:f>'U10m pots and traps'!$B$165</c:f>
              <c:strCache>
                <c:ptCount val="1"/>
                <c:pt idx="0">
                  <c:v>Velvet Crab</c:v>
                </c:pt>
              </c:strCache>
            </c:strRef>
          </c:tx>
          <c:spPr>
            <a:solidFill>
              <a:srgbClr val="E84A38"/>
            </a:solidFill>
            <a:ln>
              <a:solidFill>
                <a:srgbClr val="FFFFFF"/>
              </a:solidFill>
            </a:ln>
          </c:spPr>
          <c:invertIfNegative val="0"/>
          <c:cat>
            <c:strRef>
              <c:f>'U10m pots and traps'!$C$161:$E$161</c:f>
              <c:strCache>
                <c:ptCount val="3"/>
                <c:pt idx="0">
                  <c:v>Most
profitable
quartile</c:v>
                </c:pt>
                <c:pt idx="1">
                  <c:v>Middle 
two quartiles</c:v>
                </c:pt>
                <c:pt idx="2">
                  <c:v>Least
profitable
quartile</c:v>
                </c:pt>
              </c:strCache>
            </c:strRef>
          </c:cat>
          <c:val>
            <c:numRef>
              <c:f>'U10m pots and traps'!$C$165:$E$165</c:f>
              <c:numCache>
                <c:formatCode>0%</c:formatCode>
                <c:ptCount val="3"/>
                <c:pt idx="0">
                  <c:v>2.490541461283341E-2</c:v>
                </c:pt>
                <c:pt idx="1">
                  <c:v>4.982193037329375E-2</c:v>
                </c:pt>
                <c:pt idx="2">
                  <c:v>0.1599627211496151</c:v>
                </c:pt>
              </c:numCache>
            </c:numRef>
          </c:val>
          <c:extLst>
            <c:ext xmlns:c16="http://schemas.microsoft.com/office/drawing/2014/chart" uri="{C3380CC4-5D6E-409C-BE32-E72D297353CC}">
              <c16:uniqueId val="{00000003-3FB9-45CD-93A9-8A56F17046D4}"/>
            </c:ext>
          </c:extLst>
        </c:ser>
        <c:ser>
          <c:idx val="4"/>
          <c:order val="4"/>
          <c:tx>
            <c:strRef>
              <c:f>'U10m pots and traps'!$B$166</c:f>
              <c:strCache>
                <c:ptCount val="1"/>
                <c:pt idx="0">
                  <c:v>Nephrops</c:v>
                </c:pt>
              </c:strCache>
            </c:strRef>
          </c:tx>
          <c:spPr>
            <a:solidFill>
              <a:srgbClr val="C1D119"/>
            </a:solidFill>
            <a:ln>
              <a:solidFill>
                <a:srgbClr val="FFFFFF"/>
              </a:solidFill>
            </a:ln>
          </c:spPr>
          <c:invertIfNegative val="0"/>
          <c:cat>
            <c:strRef>
              <c:f>'U10m pots and traps'!$C$161:$E$161</c:f>
              <c:strCache>
                <c:ptCount val="3"/>
                <c:pt idx="0">
                  <c:v>Most
profitable
quartile</c:v>
                </c:pt>
                <c:pt idx="1">
                  <c:v>Middle 
two quartiles</c:v>
                </c:pt>
                <c:pt idx="2">
                  <c:v>Least
profitable
quartile</c:v>
                </c:pt>
              </c:strCache>
            </c:strRef>
          </c:cat>
          <c:val>
            <c:numRef>
              <c:f>'U10m pots and traps'!$C$166:$E$166</c:f>
              <c:numCache>
                <c:formatCode>0%</c:formatCode>
                <c:ptCount val="3"/>
                <c:pt idx="0">
                  <c:v>2.256342601340201E-2</c:v>
                </c:pt>
                <c:pt idx="1">
                  <c:v>3.3952035570778596E-2</c:v>
                </c:pt>
                <c:pt idx="2">
                  <c:v>4.0870669933367548E-2</c:v>
                </c:pt>
              </c:numCache>
            </c:numRef>
          </c:val>
          <c:extLst>
            <c:ext xmlns:c16="http://schemas.microsoft.com/office/drawing/2014/chart" uri="{C3380CC4-5D6E-409C-BE32-E72D297353CC}">
              <c16:uniqueId val="{00000004-3FB9-45CD-93A9-8A56F17046D4}"/>
            </c:ext>
          </c:extLst>
        </c:ser>
        <c:ser>
          <c:idx val="5"/>
          <c:order val="5"/>
          <c:tx>
            <c:strRef>
              <c:f>'U10m pots and traps'!$B$167</c:f>
              <c:strCache>
                <c:ptCount val="1"/>
                <c:pt idx="0">
                  <c:v>Others</c:v>
                </c:pt>
              </c:strCache>
            </c:strRef>
          </c:tx>
          <c:spPr>
            <a:solidFill>
              <a:srgbClr val="55585A"/>
            </a:solidFill>
            <a:ln>
              <a:solidFill>
                <a:srgbClr val="FFFFFF"/>
              </a:solidFill>
            </a:ln>
          </c:spPr>
          <c:invertIfNegative val="0"/>
          <c:cat>
            <c:strRef>
              <c:f>'U10m pots and traps'!$C$161:$E$161</c:f>
              <c:strCache>
                <c:ptCount val="3"/>
                <c:pt idx="0">
                  <c:v>Most
profitable
quartile</c:v>
                </c:pt>
                <c:pt idx="1">
                  <c:v>Middle 
two quartiles</c:v>
                </c:pt>
                <c:pt idx="2">
                  <c:v>Least
profitable
quartile</c:v>
                </c:pt>
              </c:strCache>
            </c:strRef>
          </c:cat>
          <c:val>
            <c:numRef>
              <c:f>'U10m pots and traps'!$C$167:$E$167</c:f>
              <c:numCache>
                <c:formatCode>0%</c:formatCode>
                <c:ptCount val="3"/>
                <c:pt idx="0">
                  <c:v>0.71143489708128027</c:v>
                </c:pt>
                <c:pt idx="1">
                  <c:v>5.9445990243493729E-2</c:v>
                </c:pt>
                <c:pt idx="2">
                  <c:v>8.8448129863998637E-2</c:v>
                </c:pt>
              </c:numCache>
            </c:numRef>
          </c:val>
          <c:extLst>
            <c:ext xmlns:c16="http://schemas.microsoft.com/office/drawing/2014/chart" uri="{C3380CC4-5D6E-409C-BE32-E72D297353CC}">
              <c16:uniqueId val="{00000005-3FB9-45CD-93A9-8A56F17046D4}"/>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'U10m pots and traps'!$H$162</c:f>
              <c:strCache>
                <c:ptCount val="1"/>
                <c:pt idx="0">
                  <c:v>Lobsters</c:v>
                </c:pt>
              </c:strCache>
            </c:strRef>
          </c:tx>
          <c:spPr>
            <a:solidFill>
              <a:srgbClr val="2273B9"/>
            </a:solidFill>
            <a:ln>
              <a:solidFill>
                <a:srgbClr val="FFFFFF"/>
              </a:solidFill>
            </a:ln>
          </c:spPr>
          <c:invertIfNegative val="0"/>
          <c:cat>
            <c:strRef>
              <c:f>'U10m pots and traps'!$I$161:$K$161</c:f>
              <c:strCache>
                <c:ptCount val="3"/>
                <c:pt idx="0">
                  <c:v>Most
profitable
quartile</c:v>
                </c:pt>
                <c:pt idx="1">
                  <c:v>Middle 
two quartiles</c:v>
                </c:pt>
                <c:pt idx="2">
                  <c:v>Least
profitable
quartile</c:v>
                </c:pt>
              </c:strCache>
            </c:strRef>
          </c:cat>
          <c:val>
            <c:numRef>
              <c:f>'U10m pots and traps'!$I$162:$K$162</c:f>
              <c:numCache>
                <c:formatCode>0%</c:formatCode>
                <c:ptCount val="3"/>
                <c:pt idx="0">
                  <c:v>0.1339186848686201</c:v>
                </c:pt>
                <c:pt idx="1">
                  <c:v>0.31514833569697237</c:v>
                </c:pt>
                <c:pt idx="2">
                  <c:v>0.36491295414169928</c:v>
                </c:pt>
              </c:numCache>
            </c:numRef>
          </c:val>
          <c:extLst>
            <c:ext xmlns:c16="http://schemas.microsoft.com/office/drawing/2014/chart" uri="{C3380CC4-5D6E-409C-BE32-E72D297353CC}">
              <c16:uniqueId val="{00000000-06E5-45BD-9138-F089B7919BC7}"/>
            </c:ext>
          </c:extLst>
        </c:ser>
        <c:ser>
          <c:idx val="1"/>
          <c:order val="1"/>
          <c:tx>
            <c:strRef>
              <c:f>'U10m pots and traps'!$H$163</c:f>
              <c:strCache>
                <c:ptCount val="1"/>
                <c:pt idx="0">
                  <c:v>Whelks</c:v>
                </c:pt>
              </c:strCache>
            </c:strRef>
          </c:tx>
          <c:spPr>
            <a:solidFill>
              <a:srgbClr val="648C2E"/>
            </a:solidFill>
            <a:ln>
              <a:solidFill>
                <a:srgbClr val="FFFFFF"/>
              </a:solidFill>
            </a:ln>
          </c:spPr>
          <c:invertIfNegative val="0"/>
          <c:cat>
            <c:strRef>
              <c:f>'U10m pots and traps'!$I$161:$K$161</c:f>
              <c:strCache>
                <c:ptCount val="3"/>
                <c:pt idx="0">
                  <c:v>Most
profitable
quartile</c:v>
                </c:pt>
                <c:pt idx="1">
                  <c:v>Middle 
two quartiles</c:v>
                </c:pt>
                <c:pt idx="2">
                  <c:v>Least
profitable
quartile</c:v>
                </c:pt>
              </c:strCache>
            </c:strRef>
          </c:cat>
          <c:val>
            <c:numRef>
              <c:f>'U10m pots and traps'!$I$163:$K$163</c:f>
              <c:numCache>
                <c:formatCode>0%</c:formatCode>
                <c:ptCount val="3"/>
                <c:pt idx="0">
                  <c:v>2.5532831056724919E-2</c:v>
                </c:pt>
                <c:pt idx="1">
                  <c:v>0.22612930015861388</c:v>
                </c:pt>
                <c:pt idx="2">
                  <c:v>7.1536864324364138E-2</c:v>
                </c:pt>
              </c:numCache>
            </c:numRef>
          </c:val>
          <c:extLst>
            <c:ext xmlns:c16="http://schemas.microsoft.com/office/drawing/2014/chart" uri="{C3380CC4-5D6E-409C-BE32-E72D297353CC}">
              <c16:uniqueId val="{00000001-06E5-45BD-9138-F089B7919BC7}"/>
            </c:ext>
          </c:extLst>
        </c:ser>
        <c:ser>
          <c:idx val="2"/>
          <c:order val="2"/>
          <c:tx>
            <c:strRef>
              <c:f>'U10m pots and traps'!$H$164</c:f>
              <c:strCache>
                <c:ptCount val="1"/>
                <c:pt idx="0">
                  <c:v>Brown Crab</c:v>
                </c:pt>
              </c:strCache>
            </c:strRef>
          </c:tx>
          <c:spPr>
            <a:solidFill>
              <a:srgbClr val="E87308"/>
            </a:solidFill>
            <a:ln>
              <a:solidFill>
                <a:srgbClr val="FFFFFF"/>
              </a:solidFill>
            </a:ln>
          </c:spPr>
          <c:invertIfNegative val="0"/>
          <c:cat>
            <c:strRef>
              <c:f>'U10m pots and traps'!$I$161:$K$161</c:f>
              <c:strCache>
                <c:ptCount val="3"/>
                <c:pt idx="0">
                  <c:v>Most
profitable
quartile</c:v>
                </c:pt>
                <c:pt idx="1">
                  <c:v>Middle 
two quartiles</c:v>
                </c:pt>
                <c:pt idx="2">
                  <c:v>Least
profitable
quartile</c:v>
                </c:pt>
              </c:strCache>
            </c:strRef>
          </c:cat>
          <c:val>
            <c:numRef>
              <c:f>'U10m pots and traps'!$I$164:$K$164</c:f>
              <c:numCache>
                <c:formatCode>0%</c:formatCode>
                <c:ptCount val="3"/>
                <c:pt idx="0">
                  <c:v>7.0228876180411598E-2</c:v>
                </c:pt>
                <c:pt idx="1">
                  <c:v>0.16121828506475561</c:v>
                </c:pt>
                <c:pt idx="2">
                  <c:v>0.21490923512988006</c:v>
                </c:pt>
              </c:numCache>
            </c:numRef>
          </c:val>
          <c:extLst>
            <c:ext xmlns:c16="http://schemas.microsoft.com/office/drawing/2014/chart" uri="{C3380CC4-5D6E-409C-BE32-E72D297353CC}">
              <c16:uniqueId val="{00000002-06E5-45BD-9138-F089B7919BC7}"/>
            </c:ext>
          </c:extLst>
        </c:ser>
        <c:ser>
          <c:idx val="3"/>
          <c:order val="3"/>
          <c:tx>
            <c:strRef>
              <c:f>'U10m pots and traps'!$H$165</c:f>
              <c:strCache>
                <c:ptCount val="1"/>
                <c:pt idx="0">
                  <c:v>Nephrops</c:v>
                </c:pt>
              </c:strCache>
            </c:strRef>
          </c:tx>
          <c:spPr>
            <a:solidFill>
              <a:srgbClr val="C1D119"/>
            </a:solidFill>
            <a:ln>
              <a:solidFill>
                <a:srgbClr val="FFFFFF"/>
              </a:solidFill>
            </a:ln>
          </c:spPr>
          <c:invertIfNegative val="0"/>
          <c:cat>
            <c:strRef>
              <c:f>'U10m pots and traps'!$I$161:$K$161</c:f>
              <c:strCache>
                <c:ptCount val="3"/>
                <c:pt idx="0">
                  <c:v>Most
profitable
quartile</c:v>
                </c:pt>
                <c:pt idx="1">
                  <c:v>Middle 
two quartiles</c:v>
                </c:pt>
                <c:pt idx="2">
                  <c:v>Least
profitable
quartile</c:v>
                </c:pt>
              </c:strCache>
            </c:strRef>
          </c:cat>
          <c:val>
            <c:numRef>
              <c:f>'U10m pots and traps'!$I$165:$K$165</c:f>
              <c:numCache>
                <c:formatCode>0%</c:formatCode>
                <c:ptCount val="3"/>
                <c:pt idx="0">
                  <c:v>6.3519476367319416E-2</c:v>
                </c:pt>
                <c:pt idx="1">
                  <c:v>0.11188861771966148</c:v>
                </c:pt>
                <c:pt idx="2">
                  <c:v>0.11758416454209156</c:v>
                </c:pt>
              </c:numCache>
            </c:numRef>
          </c:val>
          <c:extLst>
            <c:ext xmlns:c16="http://schemas.microsoft.com/office/drawing/2014/chart" uri="{C3380CC4-5D6E-409C-BE32-E72D297353CC}">
              <c16:uniqueId val="{00000003-06E5-45BD-9138-F089B7919BC7}"/>
            </c:ext>
          </c:extLst>
        </c:ser>
        <c:ser>
          <c:idx val="4"/>
          <c:order val="4"/>
          <c:tx>
            <c:strRef>
              <c:f>'U10m pots and traps'!$H$166</c:f>
              <c:strCache>
                <c:ptCount val="1"/>
                <c:pt idx="0">
                  <c:v>Velvet Crab</c:v>
                </c:pt>
              </c:strCache>
            </c:strRef>
          </c:tx>
          <c:spPr>
            <a:solidFill>
              <a:srgbClr val="E84A38"/>
            </a:solidFill>
            <a:ln>
              <a:solidFill>
                <a:srgbClr val="FFFFFF"/>
              </a:solidFill>
            </a:ln>
          </c:spPr>
          <c:invertIfNegative val="0"/>
          <c:cat>
            <c:strRef>
              <c:f>'U10m pots and traps'!$I$161:$K$161</c:f>
              <c:strCache>
                <c:ptCount val="3"/>
                <c:pt idx="0">
                  <c:v>Most
profitable
quartile</c:v>
                </c:pt>
                <c:pt idx="1">
                  <c:v>Middle 
two quartiles</c:v>
                </c:pt>
                <c:pt idx="2">
                  <c:v>Least
profitable
quartile</c:v>
                </c:pt>
              </c:strCache>
            </c:strRef>
          </c:cat>
          <c:val>
            <c:numRef>
              <c:f>'U10m pots and traps'!$I$166:$K$166</c:f>
              <c:numCache>
                <c:formatCode>0%</c:formatCode>
                <c:ptCount val="3"/>
                <c:pt idx="0">
                  <c:v>1.9735828935190894E-2</c:v>
                </c:pt>
                <c:pt idx="1">
                  <c:v>0</c:v>
                </c:pt>
                <c:pt idx="2">
                  <c:v>0.10863909529083932</c:v>
                </c:pt>
              </c:numCache>
            </c:numRef>
          </c:val>
          <c:extLst>
            <c:ext xmlns:c16="http://schemas.microsoft.com/office/drawing/2014/chart" uri="{C3380CC4-5D6E-409C-BE32-E72D297353CC}">
              <c16:uniqueId val="{00000004-06E5-45BD-9138-F089B7919BC7}"/>
            </c:ext>
          </c:extLst>
        </c:ser>
        <c:ser>
          <c:idx val="5"/>
          <c:order val="5"/>
          <c:tx>
            <c:strRef>
              <c:f>'U10m pots and traps'!$H$167</c:f>
              <c:strCache>
                <c:ptCount val="1"/>
                <c:pt idx="0">
                  <c:v>Others</c:v>
                </c:pt>
              </c:strCache>
            </c:strRef>
          </c:tx>
          <c:spPr>
            <a:solidFill>
              <a:srgbClr val="55585A"/>
            </a:solidFill>
            <a:ln>
              <a:solidFill>
                <a:srgbClr val="FFFFFF"/>
              </a:solidFill>
            </a:ln>
          </c:spPr>
          <c:invertIfNegative val="0"/>
          <c:cat>
            <c:strRef>
              <c:f>'U10m pots and traps'!$I$161:$K$161</c:f>
              <c:strCache>
                <c:ptCount val="3"/>
                <c:pt idx="0">
                  <c:v>Most
profitable
quartile</c:v>
                </c:pt>
                <c:pt idx="1">
                  <c:v>Middle 
two quartiles</c:v>
                </c:pt>
                <c:pt idx="2">
                  <c:v>Least
profitable
quartile</c:v>
                </c:pt>
              </c:strCache>
            </c:strRef>
          </c:cat>
          <c:val>
            <c:numRef>
              <c:f>'U10m pots and traps'!$I$167:$K$167</c:f>
              <c:numCache>
                <c:formatCode>0%</c:formatCode>
                <c:ptCount val="3"/>
                <c:pt idx="0">
                  <c:v>0.68706430259173312</c:v>
                </c:pt>
                <c:pt idx="1">
                  <c:v>7.5771854059751509E-2</c:v>
                </c:pt>
                <c:pt idx="2">
                  <c:v>0.12241768657112573</c:v>
                </c:pt>
              </c:numCache>
            </c:numRef>
          </c:val>
          <c:extLst>
            <c:ext xmlns:c16="http://schemas.microsoft.com/office/drawing/2014/chart" uri="{C3380CC4-5D6E-409C-BE32-E72D297353CC}">
              <c16:uniqueId val="{00000005-06E5-45BD-9138-F089B7919BC7}"/>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'U10m pots and traps'!$K$139</c:f>
              <c:strCache>
                <c:ptCount val="1"/>
                <c:pt idx="0">
                  <c:v>Total income</c:v>
                </c:pt>
              </c:strCache>
            </c:strRef>
          </c:tx>
          <c:spPr>
            <a:solidFill>
              <a:srgbClr val="087CBB"/>
            </a:solidFill>
            <a:ln>
              <a:solidFill>
                <a:schemeClr val="accent1"/>
              </a:solidFill>
            </a:ln>
          </c:spPr>
          <c:invertIfNegative val="0"/>
          <c:cat>
            <c:strRef>
              <c:f>'U10m pots and traps'!$L$138:$N$138</c:f>
              <c:strCache>
                <c:ptCount val="3"/>
                <c:pt idx="0">
                  <c:v>Most
profitable
quartile</c:v>
                </c:pt>
                <c:pt idx="1">
                  <c:v>Middle
two quartiles</c:v>
                </c:pt>
                <c:pt idx="2">
                  <c:v>Least
profitable
quartile</c:v>
                </c:pt>
              </c:strCache>
            </c:strRef>
          </c:cat>
          <c:val>
            <c:numRef>
              <c:f>'U10m pots and traps'!$L$139:$N$139</c:f>
              <c:numCache>
                <c:formatCode>#,##0</c:formatCode>
                <c:ptCount val="3"/>
                <c:pt idx="0">
                  <c:v>135.51529687499999</c:v>
                </c:pt>
                <c:pt idx="1">
                  <c:v>75.0066231715426</c:v>
                </c:pt>
                <c:pt idx="2">
                  <c:v>34.781226562500002</c:v>
                </c:pt>
              </c:numCache>
            </c:numRef>
          </c:val>
          <c:extLst>
            <c:ext xmlns:c16="http://schemas.microsoft.com/office/drawing/2014/chart" uri="{C3380CC4-5D6E-409C-BE32-E72D297353CC}">
              <c16:uniqueId val="{00000000-433E-417E-8C74-520C4625A5B3}"/>
            </c:ext>
          </c:extLst>
        </c:ser>
        <c:ser>
          <c:idx val="1"/>
          <c:order val="1"/>
          <c:tx>
            <c:strRef>
              <c:f>'U10m pots and traps'!$K$140</c:f>
              <c:strCache>
                <c:ptCount val="1"/>
                <c:pt idx="0">
                  <c:v>Operating costs</c:v>
                </c:pt>
              </c:strCache>
            </c:strRef>
          </c:tx>
          <c:spPr>
            <a:solidFill>
              <a:srgbClr val="E87308"/>
            </a:solidFill>
          </c:spPr>
          <c:invertIfNegative val="0"/>
          <c:cat>
            <c:strRef>
              <c:f>'U10m pots and traps'!$L$138:$N$138</c:f>
              <c:strCache>
                <c:ptCount val="3"/>
                <c:pt idx="0">
                  <c:v>Most
profitable
quartile</c:v>
                </c:pt>
                <c:pt idx="1">
                  <c:v>Middle
two quartiles</c:v>
                </c:pt>
                <c:pt idx="2">
                  <c:v>Least
profitable
quartile</c:v>
                </c:pt>
              </c:strCache>
            </c:strRef>
          </c:cat>
          <c:val>
            <c:numRef>
              <c:f>'U10m pots and traps'!$L$140:$N$140</c:f>
              <c:numCache>
                <c:formatCode>#,##0</c:formatCode>
                <c:ptCount val="3"/>
                <c:pt idx="0">
                  <c:v>92.307523437499995</c:v>
                </c:pt>
                <c:pt idx="1">
                  <c:v>55.152329486753302</c:v>
                </c:pt>
                <c:pt idx="2">
                  <c:v>29.474197265625001</c:v>
                </c:pt>
              </c:numCache>
            </c:numRef>
          </c:val>
          <c:extLst>
            <c:ext xmlns:c16="http://schemas.microsoft.com/office/drawing/2014/chart" uri="{C3380CC4-5D6E-409C-BE32-E72D297353CC}">
              <c16:uniqueId val="{00000001-433E-417E-8C74-520C4625A5B3}"/>
            </c:ext>
          </c:extLst>
        </c:ser>
        <c:ser>
          <c:idx val="2"/>
          <c:order val="2"/>
          <c:tx>
            <c:strRef>
              <c:f>'U10m pots and traps'!$K$141</c:f>
              <c:strCache>
                <c:ptCount val="1"/>
                <c:pt idx="0">
                  <c:v>Operating profit</c:v>
                </c:pt>
              </c:strCache>
            </c:strRef>
          </c:tx>
          <c:spPr>
            <a:solidFill>
              <a:srgbClr val="51AA81"/>
            </a:solidFill>
          </c:spPr>
          <c:invertIfNegative val="0"/>
          <c:cat>
            <c:strRef>
              <c:f>'U10m pots and traps'!$L$138:$N$138</c:f>
              <c:strCache>
                <c:ptCount val="3"/>
                <c:pt idx="0">
                  <c:v>Most
profitable
quartile</c:v>
                </c:pt>
                <c:pt idx="1">
                  <c:v>Middle
two quartiles</c:v>
                </c:pt>
                <c:pt idx="2">
                  <c:v>Least
profitable
quartile</c:v>
                </c:pt>
              </c:strCache>
            </c:strRef>
          </c:cat>
          <c:val>
            <c:numRef>
              <c:f>'U10m pots and traps'!$L$141:$N$141</c:f>
              <c:numCache>
                <c:formatCode>#,##0</c:formatCode>
                <c:ptCount val="3"/>
                <c:pt idx="0">
                  <c:v>43.207773437500002</c:v>
                </c:pt>
                <c:pt idx="1">
                  <c:v>19.854293684789301</c:v>
                </c:pt>
                <c:pt idx="2">
                  <c:v>5.3070292968750001</c:v>
                </c:pt>
              </c:numCache>
            </c:numRef>
          </c:val>
          <c:extLst>
            <c:ext xmlns:c16="http://schemas.microsoft.com/office/drawing/2014/chart" uri="{C3380CC4-5D6E-409C-BE32-E72D297353CC}">
              <c16:uniqueId val="{00000002-433E-417E-8C74-520C4625A5B3}"/>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'U10m pots and traps'!$K$142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hooks'!$A$48</c:f>
          <c:strCache>
            <c:ptCount val="1"/>
            <c:pt idx="0">
              <c:v>Landings per kW day at sea (kg)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F102-4831-B718-4BF7700F4C1B}"/>
              </c:ext>
            </c:extLst>
          </c:dPt>
          <c:dPt>
            <c:idx val="10"/>
            <c:bubble3D val="0"/>
            <c:spPr>
              <a:ln w="57150">
                <a:solidFill>
                  <a:srgbClr val="2273B9"/>
                </a:solidFill>
                <a:prstDash val="sysDot"/>
              </a:ln>
            </c:spPr>
            <c:extLst>
              <c:ext xmlns:c16="http://schemas.microsoft.com/office/drawing/2014/chart" uri="{C3380CC4-5D6E-409C-BE32-E72D297353CC}">
                <c16:uniqueId val="{00000003-F102-4831-B718-4BF7700F4C1B}"/>
              </c:ext>
            </c:extLst>
          </c:dPt>
          <c:cat>
            <c:numRef>
              <c:f>'U10m using hooks'!$D$2:$N$2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'U10m using hooks'!$D$21:$N$21</c:f>
              <c:numCache>
                <c:formatCode>#,##0.00</c:formatCode>
                <c:ptCount val="11"/>
                <c:pt idx="0">
                  <c:v>2.3669165279351998</c:v>
                </c:pt>
                <c:pt idx="1">
                  <c:v>2.7087423323182365</c:v>
                </c:pt>
                <c:pt idx="2">
                  <c:v>2.5935504710701149</c:v>
                </c:pt>
                <c:pt idx="3">
                  <c:v>2.0713362400375117</c:v>
                </c:pt>
                <c:pt idx="4">
                  <c:v>2.0257278588801708</c:v>
                </c:pt>
                <c:pt idx="5">
                  <c:v>2.6047533309813629</c:v>
                </c:pt>
                <c:pt idx="6">
                  <c:v>3.3041095553220368</c:v>
                </c:pt>
                <c:pt idx="7">
                  <c:v>2.7342030071652386</c:v>
                </c:pt>
                <c:pt idx="8">
                  <c:v>2.9659358225384587</c:v>
                </c:pt>
                <c:pt idx="9">
                  <c:v>3.101523113156313</c:v>
                </c:pt>
                <c:pt idx="10">
                  <c:v>2.8369398766685254</c:v>
                </c:pt>
              </c:numCache>
            </c:numRef>
          </c:val>
          <c:smooth val="0"/>
          <c:extLst>
            <c:ext xmlns:c16="http://schemas.microsoft.com/office/drawing/2014/chart" uri="{C3380CC4-5D6E-409C-BE32-E72D297353CC}">
              <c16:uniqueId val="{00000004-F102-4831-B718-4BF7700F4C1B}"/>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hooks'!$A$49</c:f>
          <c:strCache>
            <c:ptCount val="1"/>
            <c:pt idx="0">
              <c:v>Fishing income per kW day at sea (£)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013B-4AEF-AABA-1437145BD5C1}"/>
              </c:ext>
            </c:extLst>
          </c:dPt>
          <c:dPt>
            <c:idx val="10"/>
            <c:bubble3D val="0"/>
            <c:spPr>
              <a:ln w="57150">
                <a:solidFill>
                  <a:srgbClr val="648C2E"/>
                </a:solidFill>
                <a:prstDash val="sysDot"/>
              </a:ln>
            </c:spPr>
            <c:extLst>
              <c:ext xmlns:c16="http://schemas.microsoft.com/office/drawing/2014/chart" uri="{C3380CC4-5D6E-409C-BE32-E72D297353CC}">
                <c16:uniqueId val="{00000003-013B-4AEF-AABA-1437145BD5C1}"/>
              </c:ext>
            </c:extLst>
          </c:dPt>
          <c:cat>
            <c:numRef>
              <c:f>'U10m using hooks'!$D$2:$N$2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'U10m using hooks'!$D$22:$N$22</c:f>
              <c:numCache>
                <c:formatCode>#,##0.00</c:formatCode>
                <c:ptCount val="11"/>
                <c:pt idx="0">
                  <c:v>7.2890248835523401</c:v>
                </c:pt>
                <c:pt idx="1">
                  <c:v>8.7481138482809992</c:v>
                </c:pt>
                <c:pt idx="2">
                  <c:v>8.6363431669249007</c:v>
                </c:pt>
                <c:pt idx="3">
                  <c:v>7.3100676807842504</c:v>
                </c:pt>
                <c:pt idx="4">
                  <c:v>6.9747547139402704</c:v>
                </c:pt>
                <c:pt idx="5">
                  <c:v>8.7319715862391991</c:v>
                </c:pt>
                <c:pt idx="6">
                  <c:v>11.5083029145789</c:v>
                </c:pt>
                <c:pt idx="7">
                  <c:v>11.257325511781101</c:v>
                </c:pt>
                <c:pt idx="8">
                  <c:v>12.616173214275101</c:v>
                </c:pt>
                <c:pt idx="9">
                  <c:v>10.8561512511543</c:v>
                </c:pt>
                <c:pt idx="10">
                  <c:v>11.262764847447826</c:v>
                </c:pt>
              </c:numCache>
            </c:numRef>
          </c:val>
          <c:smooth val="0"/>
          <c:extLst>
            <c:ext xmlns:c16="http://schemas.microsoft.com/office/drawing/2014/chart" uri="{C3380CC4-5D6E-409C-BE32-E72D297353CC}">
              <c16:uniqueId val="{00000004-013B-4AEF-AABA-1437145BD5C1}"/>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hooks'!$B$62</c:f>
          <c:strCache>
            <c:ptCount val="1"/>
            <c:pt idx="0">
              <c:v>Total cost per kW day at sea (£)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0AA0-4BEF-A445-A05D2B2D1D63}"/>
              </c:ext>
            </c:extLst>
          </c:dPt>
          <c:dPt>
            <c:idx val="10"/>
            <c:bubble3D val="0"/>
            <c:spPr>
              <a:ln w="57150">
                <a:solidFill>
                  <a:srgbClr val="087CBB"/>
                </a:solidFill>
                <a:prstDash val="sysDot"/>
              </a:ln>
            </c:spPr>
            <c:extLst>
              <c:ext xmlns:c16="http://schemas.microsoft.com/office/drawing/2014/chart" uri="{C3380CC4-5D6E-409C-BE32-E72D297353CC}">
                <c16:uniqueId val="{00000003-0AA0-4BEF-A445-A05D2B2D1D63}"/>
              </c:ext>
            </c:extLst>
          </c:dPt>
          <c:cat>
            <c:numRef>
              <c:f>'U10m using hooks'!$D$2:$N$2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'U10m using hooks'!$D$23:$N$23</c:f>
              <c:numCache>
                <c:formatCode>#,##0.00</c:formatCode>
                <c:ptCount val="11"/>
                <c:pt idx="0">
                  <c:v>6.9037671879053804</c:v>
                </c:pt>
                <c:pt idx="1">
                  <c:v>7.3190481439917798</c:v>
                </c:pt>
                <c:pt idx="2">
                  <c:v>7.0875707195580198</c:v>
                </c:pt>
                <c:pt idx="3">
                  <c:v>5.4171202538357699</c:v>
                </c:pt>
                <c:pt idx="4">
                  <c:v>4.7342211905867799</c:v>
                </c:pt>
                <c:pt idx="5">
                  <c:v>5.5623577515136802</c:v>
                </c:pt>
                <c:pt idx="6">
                  <c:v>8.4450426954892794</c:v>
                </c:pt>
                <c:pt idx="7">
                  <c:v>8.1603333244301393</c:v>
                </c:pt>
                <c:pt idx="8">
                  <c:v>8.5942296534425093</c:v>
                </c:pt>
                <c:pt idx="9">
                  <c:v>8.7767454282138502</c:v>
                </c:pt>
                <c:pt idx="10">
                  <c:v>8.2128245589197562</c:v>
                </c:pt>
              </c:numCache>
            </c:numRef>
          </c:val>
          <c:smooth val="0"/>
          <c:extLst>
            <c:ext xmlns:c16="http://schemas.microsoft.com/office/drawing/2014/chart" uri="{C3380CC4-5D6E-409C-BE32-E72D297353CC}">
              <c16:uniqueId val="{00000004-0AA0-4BEF-A445-A05D2B2D1D63}"/>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hooks'!$K$48</c:f>
          <c:strCache>
            <c:ptCount val="1"/>
            <c:pt idx="0">
              <c:v>Operating profit per kW day at sea (£)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6272-4FF4-8E3E-088837CC7E04}"/>
              </c:ext>
            </c:extLst>
          </c:dPt>
          <c:dPt>
            <c:idx val="10"/>
            <c:bubble3D val="0"/>
            <c:spPr>
              <a:ln w="57150">
                <a:solidFill>
                  <a:schemeClr val="accent3"/>
                </a:solidFill>
                <a:prstDash val="sysDot"/>
              </a:ln>
            </c:spPr>
            <c:extLst>
              <c:ext xmlns:c16="http://schemas.microsoft.com/office/drawing/2014/chart" uri="{C3380CC4-5D6E-409C-BE32-E72D297353CC}">
                <c16:uniqueId val="{00000003-6272-4FF4-8E3E-088837CC7E04}"/>
              </c:ext>
            </c:extLst>
          </c:dPt>
          <c:cat>
            <c:numRef>
              <c:f>'U10m using hooks'!$D$2:$N$2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'U10m using hooks'!$D$24:$N$24</c:f>
              <c:numCache>
                <c:formatCode>#,##0.00</c:formatCode>
                <c:ptCount val="11"/>
                <c:pt idx="0">
                  <c:v>0.50145273095173604</c:v>
                </c:pt>
                <c:pt idx="1">
                  <c:v>1.6229410641415001</c:v>
                </c:pt>
                <c:pt idx="2">
                  <c:v>2.83433442090625</c:v>
                </c:pt>
                <c:pt idx="3">
                  <c:v>2.1449859558080102</c:v>
                </c:pt>
                <c:pt idx="4">
                  <c:v>2.31387986297102</c:v>
                </c:pt>
                <c:pt idx="5">
                  <c:v>3.2301347694521501</c:v>
                </c:pt>
                <c:pt idx="6">
                  <c:v>3.74816548335248</c:v>
                </c:pt>
                <c:pt idx="7">
                  <c:v>3.3009258219626298</c:v>
                </c:pt>
                <c:pt idx="8">
                  <c:v>4.2139974057091498</c:v>
                </c:pt>
                <c:pt idx="9">
                  <c:v>3.8514164499983901</c:v>
                </c:pt>
                <c:pt idx="10">
                  <c:v>3.9528272554974344</c:v>
                </c:pt>
              </c:numCache>
            </c:numRef>
          </c:val>
          <c:smooth val="0"/>
          <c:extLst>
            <c:ext xmlns:c16="http://schemas.microsoft.com/office/drawing/2014/chart" uri="{C3380CC4-5D6E-409C-BE32-E72D297353CC}">
              <c16:uniqueId val="{00000004-6272-4FF4-8E3E-088837CC7E04}"/>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hooks'!$A$50</c:f>
          <c:strCache>
            <c:ptCount val="1"/>
            <c:pt idx="0">
              <c:v>Average price per tonne landed (£)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C894-4FA7-9BFA-48769042C00F}"/>
              </c:ext>
            </c:extLst>
          </c:dPt>
          <c:dPt>
            <c:idx val="10"/>
            <c:bubble3D val="0"/>
            <c:spPr>
              <a:ln w="57150">
                <a:solidFill>
                  <a:schemeClr val="accent4"/>
                </a:solidFill>
                <a:prstDash val="sysDot"/>
              </a:ln>
            </c:spPr>
            <c:extLst>
              <c:ext xmlns:c16="http://schemas.microsoft.com/office/drawing/2014/chart" uri="{C3380CC4-5D6E-409C-BE32-E72D297353CC}">
                <c16:uniqueId val="{00000003-C894-4FA7-9BFA-48769042C00F}"/>
              </c:ext>
            </c:extLst>
          </c:dPt>
          <c:cat>
            <c:numRef>
              <c:f>'U10m using hooks'!$D$2:$M$2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using hooks'!$D$20:$N$20</c:f>
              <c:numCache>
                <c:formatCode>#,##0</c:formatCode>
                <c:ptCount val="11"/>
                <c:pt idx="0">
                  <c:v>3080</c:v>
                </c:pt>
                <c:pt idx="1">
                  <c:v>3230</c:v>
                </c:pt>
                <c:pt idx="2">
                  <c:v>3330</c:v>
                </c:pt>
                <c:pt idx="3">
                  <c:v>3529</c:v>
                </c:pt>
                <c:pt idx="4">
                  <c:v>3443</c:v>
                </c:pt>
                <c:pt idx="5">
                  <c:v>3352</c:v>
                </c:pt>
                <c:pt idx="6">
                  <c:v>3483</c:v>
                </c:pt>
                <c:pt idx="7">
                  <c:v>4117</c:v>
                </c:pt>
                <c:pt idx="8">
                  <c:v>4254</c:v>
                </c:pt>
                <c:pt idx="9">
                  <c:v>3500</c:v>
                </c:pt>
                <c:pt idx="10">
                  <c:v>3970</c:v>
                </c:pt>
              </c:numCache>
            </c:numRef>
          </c:val>
          <c:smooth val="0"/>
          <c:extLst>
            <c:ext xmlns:c16="http://schemas.microsoft.com/office/drawing/2014/chart" uri="{C3380CC4-5D6E-409C-BE32-E72D297353CC}">
              <c16:uniqueId val="{00000004-C894-4FA7-9BFA-48769042C00F}"/>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u250kW'!$K$77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VIIa nephrops u250kW'!$C$92</c:f>
              <c:strCache>
                <c:ptCount val="1"/>
                <c:pt idx="0">
                  <c:v>Nephrops</c:v>
                </c:pt>
              </c:strCache>
            </c:strRef>
          </c:tx>
          <c:spPr>
            <a:solidFill>
              <a:srgbClr val="2273B9"/>
            </a:solidFill>
            <a:ln>
              <a:solidFill>
                <a:srgbClr val="FFFFFF"/>
              </a:solidFill>
            </a:ln>
          </c:spPr>
          <c:invertIfNegative val="0"/>
          <c:cat>
            <c:numRef>
              <c:f>'Area VIIa nephrops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u250kW'!$D$92:$M$92</c:f>
              <c:numCache>
                <c:formatCode>0%</c:formatCode>
                <c:ptCount val="10"/>
                <c:pt idx="0">
                  <c:v>0.9032060191856186</c:v>
                </c:pt>
                <c:pt idx="1">
                  <c:v>0.87362223867882838</c:v>
                </c:pt>
                <c:pt idx="2">
                  <c:v>0.90305949853469503</c:v>
                </c:pt>
                <c:pt idx="3">
                  <c:v>0.90278331713224658</c:v>
                </c:pt>
                <c:pt idx="4">
                  <c:v>0.84235050500163366</c:v>
                </c:pt>
                <c:pt idx="5">
                  <c:v>0.83241359367682344</c:v>
                </c:pt>
                <c:pt idx="6">
                  <c:v>0.83064250311910492</c:v>
                </c:pt>
                <c:pt idx="7">
                  <c:v>0.85010786607480737</c:v>
                </c:pt>
                <c:pt idx="8">
                  <c:v>0.86580090618614092</c:v>
                </c:pt>
                <c:pt idx="9">
                  <c:v>0.86294067474317782</c:v>
                </c:pt>
              </c:numCache>
            </c:numRef>
          </c:val>
          <c:extLst>
            <c:ext xmlns:c16="http://schemas.microsoft.com/office/drawing/2014/chart" uri="{C3380CC4-5D6E-409C-BE32-E72D297353CC}">
              <c16:uniqueId val="{00000000-8110-438B-8F76-5F32695216BE}"/>
            </c:ext>
          </c:extLst>
        </c:ser>
        <c:ser>
          <c:idx val="1"/>
          <c:order val="1"/>
          <c:tx>
            <c:strRef>
              <c:f>'Area VIIa nephrops u250kW'!$C$93</c:f>
              <c:strCache>
                <c:ptCount val="1"/>
                <c:pt idx="0">
                  <c:v>Scallops</c:v>
                </c:pt>
              </c:strCache>
            </c:strRef>
          </c:tx>
          <c:spPr>
            <a:solidFill>
              <a:srgbClr val="E87308"/>
            </a:solidFill>
            <a:ln>
              <a:solidFill>
                <a:srgbClr val="FFFFFF"/>
              </a:solidFill>
            </a:ln>
          </c:spPr>
          <c:invertIfNegative val="0"/>
          <c:cat>
            <c:numRef>
              <c:f>'Area VIIa nephrops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u250kW'!$D$93:$M$93</c:f>
              <c:numCache>
                <c:formatCode>0%</c:formatCode>
                <c:ptCount val="10"/>
                <c:pt idx="0">
                  <c:v>4.7225279783895284E-2</c:v>
                </c:pt>
                <c:pt idx="1">
                  <c:v>6.2311719672642353E-2</c:v>
                </c:pt>
                <c:pt idx="2">
                  <c:v>6.8313504717746706E-2</c:v>
                </c:pt>
                <c:pt idx="3">
                  <c:v>6.9062931124094756E-2</c:v>
                </c:pt>
                <c:pt idx="4">
                  <c:v>0.11641502449298242</c:v>
                </c:pt>
                <c:pt idx="5">
                  <c:v>8.2874988975500982E-2</c:v>
                </c:pt>
                <c:pt idx="6">
                  <c:v>0.10175588599698468</c:v>
                </c:pt>
                <c:pt idx="7">
                  <c:v>7.6051398273432505E-2</c:v>
                </c:pt>
                <c:pt idx="8">
                  <c:v>7.6083963445201686E-2</c:v>
                </c:pt>
                <c:pt idx="9">
                  <c:v>6.8378257111958315E-2</c:v>
                </c:pt>
              </c:numCache>
            </c:numRef>
          </c:val>
          <c:extLst>
            <c:ext xmlns:c16="http://schemas.microsoft.com/office/drawing/2014/chart" uri="{C3380CC4-5D6E-409C-BE32-E72D297353CC}">
              <c16:uniqueId val="{00000001-8110-438B-8F76-5F32695216BE}"/>
            </c:ext>
          </c:extLst>
        </c:ser>
        <c:ser>
          <c:idx val="2"/>
          <c:order val="2"/>
          <c:tx>
            <c:strRef>
              <c:f>'Area VIIa nephrops u250kW'!$C$94</c:f>
              <c:strCache>
                <c:ptCount val="1"/>
                <c:pt idx="0">
                  <c:v>Anglerfish</c:v>
                </c:pt>
              </c:strCache>
            </c:strRef>
          </c:tx>
          <c:spPr>
            <a:solidFill>
              <a:srgbClr val="648C2E"/>
            </a:solidFill>
            <a:ln>
              <a:solidFill>
                <a:srgbClr val="FFFFFF"/>
              </a:solidFill>
            </a:ln>
          </c:spPr>
          <c:invertIfNegative val="0"/>
          <c:cat>
            <c:numRef>
              <c:f>'Area VIIa nephrops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u250kW'!$D$94:$M$94</c:f>
              <c:numCache>
                <c:formatCode>0%</c:formatCode>
                <c:ptCount val="10"/>
                <c:pt idx="0">
                  <c:v>9.202321175997728E-3</c:v>
                </c:pt>
                <c:pt idx="1">
                  <c:v>9.5638870923398702E-3</c:v>
                </c:pt>
                <c:pt idx="2">
                  <c:v>7.1671041442173938E-3</c:v>
                </c:pt>
                <c:pt idx="3">
                  <c:v>4.9242666298980799E-3</c:v>
                </c:pt>
                <c:pt idx="4">
                  <c:v>9.0009472793854562E-3</c:v>
                </c:pt>
                <c:pt idx="5">
                  <c:v>1.6754843455143338E-2</c:v>
                </c:pt>
                <c:pt idx="6">
                  <c:v>1.7492875569921903E-2</c:v>
                </c:pt>
                <c:pt idx="7">
                  <c:v>1.3740184867891189E-2</c:v>
                </c:pt>
                <c:pt idx="8">
                  <c:v>1.366269558355754E-2</c:v>
                </c:pt>
                <c:pt idx="9">
                  <c:v>1.4443583077225047E-2</c:v>
                </c:pt>
              </c:numCache>
            </c:numRef>
          </c:val>
          <c:extLst>
            <c:ext xmlns:c16="http://schemas.microsoft.com/office/drawing/2014/chart" uri="{C3380CC4-5D6E-409C-BE32-E72D297353CC}">
              <c16:uniqueId val="{00000002-8110-438B-8F76-5F32695216BE}"/>
            </c:ext>
          </c:extLst>
        </c:ser>
        <c:ser>
          <c:idx val="3"/>
          <c:order val="3"/>
          <c:tx>
            <c:strRef>
              <c:f>'Area VIIa nephrops u250kW'!$C$95</c:f>
              <c:strCache>
                <c:ptCount val="1"/>
                <c:pt idx="0">
                  <c:v>Brown Crab</c:v>
                </c:pt>
              </c:strCache>
            </c:strRef>
          </c:tx>
          <c:spPr>
            <a:solidFill>
              <a:srgbClr val="C1D119"/>
            </a:solidFill>
            <a:ln>
              <a:solidFill>
                <a:srgbClr val="FFFFFF"/>
              </a:solidFill>
            </a:ln>
          </c:spPr>
          <c:invertIfNegative val="0"/>
          <c:cat>
            <c:numRef>
              <c:f>'Area VIIa nephrops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u250kW'!$D$95:$M$95</c:f>
              <c:numCache>
                <c:formatCode>0%</c:formatCode>
                <c:ptCount val="10"/>
                <c:pt idx="8">
                  <c:v>5.4309018136455642E-3</c:v>
                </c:pt>
              </c:numCache>
            </c:numRef>
          </c:val>
          <c:extLst>
            <c:ext xmlns:c16="http://schemas.microsoft.com/office/drawing/2014/chart" uri="{C3380CC4-5D6E-409C-BE32-E72D297353CC}">
              <c16:uniqueId val="{00000003-8110-438B-8F76-5F32695216BE}"/>
            </c:ext>
          </c:extLst>
        </c:ser>
        <c:ser>
          <c:idx val="4"/>
          <c:order val="4"/>
          <c:tx>
            <c:strRef>
              <c:f>'Area VIIa nephrops u250kW'!$C$96</c:f>
              <c:strCache>
                <c:ptCount val="1"/>
                <c:pt idx="0">
                  <c:v>Les. Spot. Dog</c:v>
                </c:pt>
              </c:strCache>
            </c:strRef>
          </c:tx>
          <c:spPr>
            <a:solidFill>
              <a:srgbClr val="E84A38"/>
            </a:solidFill>
            <a:ln>
              <a:solidFill>
                <a:srgbClr val="FFFFFF"/>
              </a:solidFill>
            </a:ln>
          </c:spPr>
          <c:invertIfNegative val="0"/>
          <c:cat>
            <c:numRef>
              <c:f>'Area VIIa nephrops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u250kW'!$D$96:$M$96</c:f>
              <c:numCache>
                <c:formatCode>0%</c:formatCode>
                <c:ptCount val="10"/>
                <c:pt idx="2">
                  <c:v>2.9582267272523508E-3</c:v>
                </c:pt>
                <c:pt idx="3">
                  <c:v>5.3321319175030383E-3</c:v>
                </c:pt>
                <c:pt idx="8">
                  <c:v>5.4188653175316903E-3</c:v>
                </c:pt>
                <c:pt idx="9">
                  <c:v>8.8088960152695201E-3</c:v>
                </c:pt>
              </c:numCache>
            </c:numRef>
          </c:val>
          <c:extLst>
            <c:ext xmlns:c16="http://schemas.microsoft.com/office/drawing/2014/chart" uri="{C3380CC4-5D6E-409C-BE32-E72D297353CC}">
              <c16:uniqueId val="{00000004-8110-438B-8F76-5F32695216BE}"/>
            </c:ext>
          </c:extLst>
        </c:ser>
        <c:ser>
          <c:idx val="5"/>
          <c:order val="5"/>
          <c:tx>
            <c:strRef>
              <c:f>'Area VIIa nephrops u250kW'!$C$97</c:f>
              <c:strCache>
                <c:ptCount val="1"/>
                <c:pt idx="0">
                  <c:v>Sole</c:v>
                </c:pt>
              </c:strCache>
            </c:strRef>
          </c:tx>
          <c:spPr>
            <a:solidFill>
              <a:srgbClr val="0F9AA9"/>
            </a:solidFill>
            <a:ln>
              <a:solidFill>
                <a:srgbClr val="FFFFFF"/>
              </a:solidFill>
            </a:ln>
          </c:spPr>
          <c:invertIfNegative val="0"/>
          <c:cat>
            <c:numRef>
              <c:f>'Area VIIa nephrops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u250kW'!$D$97:$M$97</c:f>
              <c:numCache>
                <c:formatCode>0%</c:formatCode>
                <c:ptCount val="10"/>
                <c:pt idx="9">
                  <c:v>7.8164457980821091E-3</c:v>
                </c:pt>
              </c:numCache>
            </c:numRef>
          </c:val>
          <c:extLst>
            <c:ext xmlns:c16="http://schemas.microsoft.com/office/drawing/2014/chart" uri="{C3380CC4-5D6E-409C-BE32-E72D297353CC}">
              <c16:uniqueId val="{00000005-8110-438B-8F76-5F32695216BE}"/>
            </c:ext>
          </c:extLst>
        </c:ser>
        <c:ser>
          <c:idx val="6"/>
          <c:order val="6"/>
          <c:tx>
            <c:strRef>
              <c:f>'Area VIIa nephrops u250kW'!$C$98</c:f>
              <c:strCache>
                <c:ptCount val="1"/>
                <c:pt idx="0">
                  <c:v>Haddock</c:v>
                </c:pt>
              </c:strCache>
            </c:strRef>
          </c:tx>
          <c:spPr>
            <a:solidFill>
              <a:srgbClr val="FED825"/>
            </a:solidFill>
            <a:ln>
              <a:solidFill>
                <a:srgbClr val="FFFFFF"/>
              </a:solidFill>
            </a:ln>
          </c:spPr>
          <c:invertIfNegative val="0"/>
          <c:cat>
            <c:numRef>
              <c:f>'Area VIIa nephrops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u250kW'!$D$98:$M$98</c:f>
              <c:numCache>
                <c:formatCode>0%</c:formatCode>
                <c:ptCount val="10"/>
                <c:pt idx="4">
                  <c:v>3.6080946254053543E-3</c:v>
                </c:pt>
                <c:pt idx="5">
                  <c:v>1.9500595550144356E-2</c:v>
                </c:pt>
                <c:pt idx="6">
                  <c:v>1.1270461610199203E-2</c:v>
                </c:pt>
                <c:pt idx="7">
                  <c:v>1.1290873241676436E-2</c:v>
                </c:pt>
              </c:numCache>
            </c:numRef>
          </c:val>
          <c:extLst>
            <c:ext xmlns:c16="http://schemas.microsoft.com/office/drawing/2014/chart" uri="{C3380CC4-5D6E-409C-BE32-E72D297353CC}">
              <c16:uniqueId val="{00000006-8110-438B-8F76-5F32695216BE}"/>
            </c:ext>
          </c:extLst>
        </c:ser>
        <c:ser>
          <c:idx val="7"/>
          <c:order val="7"/>
          <c:tx>
            <c:strRef>
              <c:f>'Area VIIa nephrops u250kW'!$C$99</c:f>
              <c:strCache>
                <c:ptCount val="1"/>
                <c:pt idx="0">
                  <c:v>Brill</c:v>
                </c:pt>
              </c:strCache>
            </c:strRef>
          </c:tx>
          <c:spPr>
            <a:solidFill>
              <a:srgbClr val="707271"/>
            </a:solidFill>
            <a:ln>
              <a:solidFill>
                <a:srgbClr val="FFFFFF"/>
              </a:solidFill>
            </a:ln>
          </c:spPr>
          <c:invertIfNegative val="0"/>
          <c:cat>
            <c:numRef>
              <c:f>'Area VIIa nephrops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u250kW'!$D$99:$M$99</c:f>
              <c:numCache>
                <c:formatCode>0%</c:formatCode>
                <c:ptCount val="10"/>
                <c:pt idx="7">
                  <c:v>6.4757286780516314E-3</c:v>
                </c:pt>
              </c:numCache>
            </c:numRef>
          </c:val>
          <c:extLst>
            <c:ext xmlns:c16="http://schemas.microsoft.com/office/drawing/2014/chart" uri="{C3380CC4-5D6E-409C-BE32-E72D297353CC}">
              <c16:uniqueId val="{00000007-8110-438B-8F76-5F32695216BE}"/>
            </c:ext>
          </c:extLst>
        </c:ser>
        <c:ser>
          <c:idx val="8"/>
          <c:order val="8"/>
          <c:tx>
            <c:strRef>
              <c:f>'Area VIIa nephrops u250kW'!$C$100</c:f>
              <c:strCache>
                <c:ptCount val="1"/>
                <c:pt idx="0">
                  <c:v>Queen Scallops</c:v>
                </c:pt>
              </c:strCache>
            </c:strRef>
          </c:tx>
          <c:spPr>
            <a:solidFill>
              <a:srgbClr val="51AA81"/>
            </a:solidFill>
            <a:ln>
              <a:solidFill>
                <a:srgbClr val="FFFFFF"/>
              </a:solidFill>
            </a:ln>
          </c:spPr>
          <c:invertIfNegative val="0"/>
          <c:cat>
            <c:numRef>
              <c:f>'Area VIIa nephrops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u250kW'!$D$100:$M$100</c:f>
              <c:numCache>
                <c:formatCode>0%</c:formatCode>
                <c:ptCount val="10"/>
                <c:pt idx="0">
                  <c:v>1.0185477174296147E-2</c:v>
                </c:pt>
                <c:pt idx="1">
                  <c:v>1.533402192904279E-2</c:v>
                </c:pt>
                <c:pt idx="6">
                  <c:v>9.138369465403395E-3</c:v>
                </c:pt>
              </c:numCache>
            </c:numRef>
          </c:val>
          <c:extLst>
            <c:ext xmlns:c16="http://schemas.microsoft.com/office/drawing/2014/chart" uri="{C3380CC4-5D6E-409C-BE32-E72D297353CC}">
              <c16:uniqueId val="{00000008-8110-438B-8F76-5F32695216BE}"/>
            </c:ext>
          </c:extLst>
        </c:ser>
        <c:ser>
          <c:idx val="9"/>
          <c:order val="9"/>
          <c:tx>
            <c:strRef>
              <c:f>'Area VIIa nephrops u250kW'!$C$101</c:f>
              <c:strCache>
                <c:ptCount val="1"/>
                <c:pt idx="0">
                  <c:v>Mussels</c:v>
                </c:pt>
              </c:strCache>
            </c:strRef>
          </c:tx>
          <c:spPr>
            <a:solidFill>
              <a:srgbClr val="169FDB"/>
            </a:solidFill>
            <a:ln>
              <a:solidFill>
                <a:srgbClr val="FFFFFF"/>
              </a:solidFill>
            </a:ln>
          </c:spPr>
          <c:invertIfNegative val="0"/>
          <c:cat>
            <c:numRef>
              <c:f>'Area VIIa nephrops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u250kW'!$D$101:$M$101</c:f>
              <c:numCache>
                <c:formatCode>0%</c:formatCode>
                <c:ptCount val="10"/>
                <c:pt idx="5">
                  <c:v>1.2449452022894953E-2</c:v>
                </c:pt>
              </c:numCache>
            </c:numRef>
          </c:val>
          <c:extLst>
            <c:ext xmlns:c16="http://schemas.microsoft.com/office/drawing/2014/chart" uri="{C3380CC4-5D6E-409C-BE32-E72D297353CC}">
              <c16:uniqueId val="{00000009-8110-438B-8F76-5F32695216BE}"/>
            </c:ext>
          </c:extLst>
        </c:ser>
        <c:ser>
          <c:idx val="10"/>
          <c:order val="10"/>
          <c:tx>
            <c:strRef>
              <c:f>'Area VIIa nephrops u250kW'!$C$102</c:f>
              <c:strCache>
                <c:ptCount val="1"/>
                <c:pt idx="0">
                  <c:v>Razor Clam</c:v>
                </c:pt>
              </c:strCache>
            </c:strRef>
          </c:tx>
          <c:spPr>
            <a:solidFill>
              <a:srgbClr val="E40D2C"/>
            </a:solidFill>
            <a:ln>
              <a:solidFill>
                <a:srgbClr val="FFFFFF"/>
              </a:solidFill>
            </a:ln>
          </c:spPr>
          <c:invertIfNegative val="0"/>
          <c:cat>
            <c:numRef>
              <c:f>'Area VIIa nephrops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u250kW'!$D$102:$M$102</c:f>
              <c:numCache>
                <c:formatCode>0%</c:formatCode>
                <c:ptCount val="10"/>
                <c:pt idx="4">
                  <c:v>6.6140044958555161E-3</c:v>
                </c:pt>
              </c:numCache>
            </c:numRef>
          </c:val>
          <c:extLst>
            <c:ext xmlns:c16="http://schemas.microsoft.com/office/drawing/2014/chart" uri="{C3380CC4-5D6E-409C-BE32-E72D297353CC}">
              <c16:uniqueId val="{0000000A-8110-438B-8F76-5F32695216BE}"/>
            </c:ext>
          </c:extLst>
        </c:ser>
        <c:ser>
          <c:idx val="11"/>
          <c:order val="11"/>
          <c:tx>
            <c:strRef>
              <c:f>'Area VIIa nephrops u250kW'!$C$103</c:f>
              <c:strCache>
                <c:ptCount val="1"/>
                <c:pt idx="0">
                  <c:v>Thornback Ray</c:v>
                </c:pt>
              </c:strCache>
            </c:strRef>
          </c:tx>
          <c:spPr>
            <a:solidFill>
              <a:srgbClr val="B4C3E5"/>
            </a:solidFill>
            <a:ln>
              <a:solidFill>
                <a:srgbClr val="FFFFFF"/>
              </a:solidFill>
            </a:ln>
          </c:spPr>
          <c:invertIfNegative val="0"/>
          <c:cat>
            <c:numRef>
              <c:f>'Area VIIa nephrops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u250kW'!$D$103:$M$103</c:f>
              <c:numCache>
                <c:formatCode>0%</c:formatCode>
                <c:ptCount val="10"/>
                <c:pt idx="0">
                  <c:v>5.3794633634969306E-3</c:v>
                </c:pt>
                <c:pt idx="1">
                  <c:v>6.2204424265200594E-3</c:v>
                </c:pt>
                <c:pt idx="3">
                  <c:v>3.8797037336966785E-3</c:v>
                </c:pt>
              </c:numCache>
            </c:numRef>
          </c:val>
          <c:extLst>
            <c:ext xmlns:c16="http://schemas.microsoft.com/office/drawing/2014/chart" uri="{C3380CC4-5D6E-409C-BE32-E72D297353CC}">
              <c16:uniqueId val="{0000000B-8110-438B-8F76-5F32695216BE}"/>
            </c:ext>
          </c:extLst>
        </c:ser>
        <c:ser>
          <c:idx val="12"/>
          <c:order val="12"/>
          <c:tx>
            <c:strRef>
              <c:f>'Area VIIa nephrops u250kW'!$C$104</c:f>
              <c:strCache>
                <c:ptCount val="1"/>
                <c:pt idx="0">
                  <c:v>Cod</c:v>
                </c:pt>
              </c:strCache>
            </c:strRef>
          </c:tx>
          <c:spPr>
            <a:solidFill>
              <a:srgbClr val="F8CBA1"/>
            </a:solidFill>
            <a:ln>
              <a:solidFill>
                <a:srgbClr val="FFFFFF"/>
              </a:solidFill>
            </a:ln>
          </c:spPr>
          <c:invertIfNegative val="0"/>
          <c:cat>
            <c:numRef>
              <c:f>'Area VIIa nephrops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u250kW'!$D$104:$M$104</c:f>
              <c:numCache>
                <c:formatCode>0%</c:formatCode>
                <c:ptCount val="10"/>
                <c:pt idx="2">
                  <c:v>3.8377268953566661E-3</c:v>
                </c:pt>
              </c:numCache>
            </c:numRef>
          </c:val>
          <c:extLst>
            <c:ext xmlns:c16="http://schemas.microsoft.com/office/drawing/2014/chart" uri="{C3380CC4-5D6E-409C-BE32-E72D297353CC}">
              <c16:uniqueId val="{0000000C-8110-438B-8F76-5F32695216BE}"/>
            </c:ext>
          </c:extLst>
        </c:ser>
        <c:ser>
          <c:idx val="13"/>
          <c:order val="13"/>
          <c:tx>
            <c:strRef>
              <c:f>'Area VIIa nephrops u250kW'!$C$105</c:f>
              <c:strCache>
                <c:ptCount val="1"/>
                <c:pt idx="0">
                  <c:v>Others</c:v>
                </c:pt>
              </c:strCache>
            </c:strRef>
          </c:tx>
          <c:spPr>
            <a:solidFill>
              <a:srgbClr val="55585A"/>
            </a:solidFill>
            <a:ln>
              <a:solidFill>
                <a:srgbClr val="FFFFFF"/>
              </a:solidFill>
            </a:ln>
          </c:spPr>
          <c:invertIfNegative val="0"/>
          <c:cat>
            <c:numRef>
              <c:f>'Area VIIa nephrops u250kW'!$D$91:$M$91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nephrops u250kW'!$D$105:$M$105</c:f>
              <c:numCache>
                <c:formatCode>0%</c:formatCode>
                <c:ptCount val="10"/>
                <c:pt idx="0">
                  <c:v>2.4801439316695324E-2</c:v>
                </c:pt>
                <c:pt idx="1">
                  <c:v>3.294769020062658E-2</c:v>
                </c:pt>
                <c:pt idx="2">
                  <c:v>1.4663938980731834E-2</c:v>
                </c:pt>
                <c:pt idx="3">
                  <c:v>1.4017649462560849E-2</c:v>
                </c:pt>
                <c:pt idx="4">
                  <c:v>2.2011424104737588E-2</c:v>
                </c:pt>
                <c:pt idx="5">
                  <c:v>3.6006526319492971E-2</c:v>
                </c:pt>
                <c:pt idx="6">
                  <c:v>2.9699904238385859E-2</c:v>
                </c:pt>
                <c:pt idx="7">
                  <c:v>4.2333948864140832E-2</c:v>
                </c:pt>
                <c:pt idx="8">
                  <c:v>3.3602667653922648E-2</c:v>
                </c:pt>
                <c:pt idx="9">
                  <c:v>3.7612143254287168E-2</c:v>
                </c:pt>
              </c:numCache>
            </c:numRef>
          </c:val>
          <c:extLst>
            <c:ext xmlns:c16="http://schemas.microsoft.com/office/drawing/2014/chart" uri="{C3380CC4-5D6E-409C-BE32-E72D297353CC}">
              <c16:uniqueId val="{0000000D-8110-438B-8F76-5F32695216BE}"/>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hooks'!$K$62</c:f>
          <c:strCache>
            <c:ptCount val="1"/>
            <c:pt idx="0">
              <c:v>Average annual operating profit per vessel (£'000)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B973-4D1C-AB45-74C2CD3B737F}"/>
              </c:ext>
            </c:extLst>
          </c:dPt>
          <c:dPt>
            <c:idx val="10"/>
            <c:bubble3D val="0"/>
            <c:spPr>
              <a:ln w="57150">
                <a:solidFill>
                  <a:schemeClr val="accent5"/>
                </a:solidFill>
                <a:prstDash val="sysDot"/>
              </a:ln>
            </c:spPr>
            <c:extLst>
              <c:ext xmlns:c16="http://schemas.microsoft.com/office/drawing/2014/chart" uri="{C3380CC4-5D6E-409C-BE32-E72D297353CC}">
                <c16:uniqueId val="{00000003-B973-4D1C-AB45-74C2CD3B737F}"/>
              </c:ext>
            </c:extLst>
          </c:dPt>
          <c:cat>
            <c:numRef>
              <c:f>'U10m using hooks'!$D$2:$M$2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'U10m using hooks'!$D$37:$N$37</c:f>
              <c:numCache>
                <c:formatCode>#,##0.0</c:formatCode>
                <c:ptCount val="11"/>
                <c:pt idx="0">
                  <c:v>2.8</c:v>
                </c:pt>
                <c:pt idx="1">
                  <c:v>8.3000000000000007</c:v>
                </c:pt>
                <c:pt idx="2">
                  <c:v>12.8</c:v>
                </c:pt>
                <c:pt idx="3">
                  <c:v>10.4</c:v>
                </c:pt>
                <c:pt idx="4">
                  <c:v>14.2</c:v>
                </c:pt>
                <c:pt idx="5">
                  <c:v>16.3</c:v>
                </c:pt>
                <c:pt idx="6">
                  <c:v>13.7</c:v>
                </c:pt>
                <c:pt idx="7">
                  <c:v>12.9</c:v>
                </c:pt>
                <c:pt idx="8">
                  <c:v>16.8</c:v>
                </c:pt>
                <c:pt idx="9">
                  <c:v>12.9</c:v>
                </c:pt>
                <c:pt idx="10">
                  <c:v>13.4</c:v>
                </c:pt>
              </c:numCache>
            </c:numRef>
          </c:val>
          <c:smooth val="0"/>
          <c:extLst>
            <c:ext xmlns:c16="http://schemas.microsoft.com/office/drawing/2014/chart" uri="{C3380CC4-5D6E-409C-BE32-E72D297353CC}">
              <c16:uniqueId val="{00000004-B973-4D1C-AB45-74C2CD3B737F}"/>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using hooks'!$A$76</c:f>
          <c:strCache>
            <c:ptCount val="1"/>
            <c:pt idx="0">
              <c:v>Top 5 landed species by volume in 2020
Under 10m using hooks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648C2E"/>
              </a:solidFill>
              <a:ln>
                <a:solidFill>
                  <a:srgbClr val="FFFFFF"/>
                </a:solidFill>
              </a:ln>
            </c:spPr>
            <c:extLst>
              <c:ext xmlns:c16="http://schemas.microsoft.com/office/drawing/2014/chart" uri="{C3380CC4-5D6E-409C-BE32-E72D297353CC}">
                <c16:uniqueId val="{00000001-0BCE-448A-BE87-5EAB5D44B676}"/>
              </c:ext>
            </c:extLst>
          </c:dPt>
          <c:dPt>
            <c:idx val="1"/>
            <c:bubble3D val="0"/>
            <c:spPr>
              <a:solidFill>
                <a:srgbClr val="C1D119"/>
              </a:solidFill>
              <a:ln>
                <a:solidFill>
                  <a:srgbClr val="FFFFFF"/>
                </a:solidFill>
              </a:ln>
            </c:spPr>
            <c:extLst>
              <c:ext xmlns:c16="http://schemas.microsoft.com/office/drawing/2014/chart" uri="{C3380CC4-5D6E-409C-BE32-E72D297353CC}">
                <c16:uniqueId val="{00000003-0BCE-448A-BE87-5EAB5D44B676}"/>
              </c:ext>
            </c:extLst>
          </c:dPt>
          <c:dPt>
            <c:idx val="2"/>
            <c:bubble3D val="0"/>
            <c:spPr>
              <a:solidFill>
                <a:srgbClr val="2273B9"/>
              </a:solidFill>
              <a:ln>
                <a:solidFill>
                  <a:srgbClr val="FFFFFF"/>
                </a:solidFill>
              </a:ln>
            </c:spPr>
            <c:extLst>
              <c:ext xmlns:c16="http://schemas.microsoft.com/office/drawing/2014/chart" uri="{C3380CC4-5D6E-409C-BE32-E72D297353CC}">
                <c16:uniqueId val="{00000005-0BCE-448A-BE87-5EAB5D44B676}"/>
              </c:ext>
            </c:extLst>
          </c:dPt>
          <c:dPt>
            <c:idx val="3"/>
            <c:bubble3D val="0"/>
            <c:spPr>
              <a:solidFill>
                <a:srgbClr val="E87308"/>
              </a:solidFill>
              <a:ln>
                <a:solidFill>
                  <a:srgbClr val="FFFFFF"/>
                </a:solidFill>
              </a:ln>
            </c:spPr>
            <c:extLst>
              <c:ext xmlns:c16="http://schemas.microsoft.com/office/drawing/2014/chart" uri="{C3380CC4-5D6E-409C-BE32-E72D297353CC}">
                <c16:uniqueId val="{00000007-0BCE-448A-BE87-5EAB5D44B676}"/>
              </c:ext>
            </c:extLst>
          </c:dPt>
          <c:dPt>
            <c:idx val="4"/>
            <c:bubble3D val="0"/>
            <c:spPr>
              <a:solidFill>
                <a:srgbClr val="E84A38"/>
              </a:solidFill>
              <a:ln>
                <a:solidFill>
                  <a:srgbClr val="FFFFFF"/>
                </a:solidFill>
              </a:ln>
            </c:spPr>
            <c:extLst>
              <c:ext xmlns:c16="http://schemas.microsoft.com/office/drawing/2014/chart" uri="{C3380CC4-5D6E-409C-BE32-E72D297353CC}">
                <c16:uniqueId val="{00000009-0BCE-448A-BE87-5EAB5D44B676}"/>
              </c:ext>
            </c:extLst>
          </c:dPt>
          <c:dPt>
            <c:idx val="5"/>
            <c:bubble3D val="0"/>
            <c:spPr>
              <a:solidFill>
                <a:srgbClr val="55585A"/>
              </a:solidFill>
              <a:ln>
                <a:solidFill>
                  <a:srgbClr val="FFFFFF"/>
                </a:solidFill>
              </a:ln>
            </c:spPr>
            <c:extLst>
              <c:ext xmlns:c16="http://schemas.microsoft.com/office/drawing/2014/chart" uri="{C3380CC4-5D6E-409C-BE32-E72D297353CC}">
                <c16:uniqueId val="{0000000B-0BCE-448A-BE87-5EAB5D44B676}"/>
              </c:ext>
            </c:extLst>
          </c:dPt>
          <c:cat>
            <c:strRef>
              <c:f>'U10m using hooks'!$B$77:$B$82</c:f>
              <c:strCache>
                <c:ptCount val="6"/>
                <c:pt idx="0">
                  <c:v>Mackerel - 43.2%</c:v>
                </c:pt>
                <c:pt idx="1">
                  <c:v>Scallops - 16.8%</c:v>
                </c:pt>
                <c:pt idx="2">
                  <c:v>Razor Clam - 13.4%</c:v>
                </c:pt>
                <c:pt idx="3">
                  <c:v>Bass - 10.0%</c:v>
                </c:pt>
                <c:pt idx="4">
                  <c:v>Cod - 4.4%</c:v>
                </c:pt>
                <c:pt idx="5">
                  <c:v>Others - 12.1%</c:v>
                </c:pt>
              </c:strCache>
            </c:strRef>
          </c:cat>
          <c:val>
            <c:numRef>
              <c:f>'U10m using hooks'!$C$77:$C$82</c:f>
              <c:numCache>
                <c:formatCode>0.0%</c:formatCode>
                <c:ptCount val="6"/>
                <c:pt idx="0">
                  <c:v>0.43167476803079147</c:v>
                </c:pt>
                <c:pt idx="1">
                  <c:v>0.16841555032463612</c:v>
                </c:pt>
                <c:pt idx="2">
                  <c:v>0.13417334635837722</c:v>
                </c:pt>
                <c:pt idx="3">
                  <c:v>0.10048720068879781</c:v>
                </c:pt>
                <c:pt idx="4">
                  <c:v>4.4022689489123343E-2</c:v>
                </c:pt>
                <c:pt idx="5">
                  <c:v>0.12122644510827407</c:v>
                </c:pt>
              </c:numCache>
            </c:numRef>
          </c:val>
          <c:extLst>
            <c:ext xmlns:c16="http://schemas.microsoft.com/office/drawing/2014/chart" uri="{C3380CC4-5D6E-409C-BE32-E72D297353CC}">
              <c16:uniqueId val="{0000000C-0BCE-448A-BE87-5EAB5D44B676}"/>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using hooks'!$F$76</c:f>
          <c:strCache>
            <c:ptCount val="1"/>
            <c:pt idx="0">
              <c:v>Top 5 landed species by value in 2020
Under 10m using hooks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38A4-4FC2-8D83-A2F80AD45B4D}"/>
              </c:ext>
            </c:extLst>
          </c:dPt>
          <c:dPt>
            <c:idx val="1"/>
            <c:bubble3D val="0"/>
            <c:spPr>
              <a:solidFill>
                <a:srgbClr val="E87308"/>
              </a:solidFill>
              <a:ln>
                <a:solidFill>
                  <a:srgbClr val="FFFFFF"/>
                </a:solidFill>
              </a:ln>
            </c:spPr>
            <c:extLst>
              <c:ext xmlns:c16="http://schemas.microsoft.com/office/drawing/2014/chart" uri="{C3380CC4-5D6E-409C-BE32-E72D297353CC}">
                <c16:uniqueId val="{00000003-38A4-4FC2-8D83-A2F80AD45B4D}"/>
              </c:ext>
            </c:extLst>
          </c:dPt>
          <c:dPt>
            <c:idx val="2"/>
            <c:bubble3D val="0"/>
            <c:spPr>
              <a:solidFill>
                <a:srgbClr val="648C2E"/>
              </a:solidFill>
              <a:ln>
                <a:solidFill>
                  <a:srgbClr val="FFFFFF"/>
                </a:solidFill>
              </a:ln>
            </c:spPr>
            <c:extLst>
              <c:ext xmlns:c16="http://schemas.microsoft.com/office/drawing/2014/chart" uri="{C3380CC4-5D6E-409C-BE32-E72D297353CC}">
                <c16:uniqueId val="{00000005-38A4-4FC2-8D83-A2F80AD45B4D}"/>
              </c:ext>
            </c:extLst>
          </c:dPt>
          <c:dPt>
            <c:idx val="3"/>
            <c:bubble3D val="0"/>
            <c:spPr>
              <a:solidFill>
                <a:srgbClr val="C1D119"/>
              </a:solidFill>
              <a:ln>
                <a:solidFill>
                  <a:srgbClr val="FFFFFF"/>
                </a:solidFill>
              </a:ln>
            </c:spPr>
            <c:extLst>
              <c:ext xmlns:c16="http://schemas.microsoft.com/office/drawing/2014/chart" uri="{C3380CC4-5D6E-409C-BE32-E72D297353CC}">
                <c16:uniqueId val="{00000007-38A4-4FC2-8D83-A2F80AD45B4D}"/>
              </c:ext>
            </c:extLst>
          </c:dPt>
          <c:dPt>
            <c:idx val="4"/>
            <c:bubble3D val="0"/>
            <c:spPr>
              <a:solidFill>
                <a:srgbClr val="E84A38"/>
              </a:solidFill>
              <a:ln>
                <a:solidFill>
                  <a:srgbClr val="FFFFFF"/>
                </a:solidFill>
              </a:ln>
            </c:spPr>
            <c:extLst>
              <c:ext xmlns:c16="http://schemas.microsoft.com/office/drawing/2014/chart" uri="{C3380CC4-5D6E-409C-BE32-E72D297353CC}">
                <c16:uniqueId val="{00000009-38A4-4FC2-8D83-A2F80AD45B4D}"/>
              </c:ext>
            </c:extLst>
          </c:dPt>
          <c:dPt>
            <c:idx val="5"/>
            <c:bubble3D val="0"/>
            <c:spPr>
              <a:solidFill>
                <a:srgbClr val="55585A"/>
              </a:solidFill>
              <a:ln>
                <a:solidFill>
                  <a:srgbClr val="FFFFFF"/>
                </a:solidFill>
              </a:ln>
            </c:spPr>
            <c:extLst>
              <c:ext xmlns:c16="http://schemas.microsoft.com/office/drawing/2014/chart" uri="{C3380CC4-5D6E-409C-BE32-E72D297353CC}">
                <c16:uniqueId val="{0000000B-38A4-4FC2-8D83-A2F80AD45B4D}"/>
              </c:ext>
            </c:extLst>
          </c:dPt>
          <c:cat>
            <c:strRef>
              <c:f>'U10m using hooks'!$G$77:$G$82</c:f>
              <c:strCache>
                <c:ptCount val="6"/>
                <c:pt idx="0">
                  <c:v>Razor Clam - 29.8%</c:v>
                </c:pt>
                <c:pt idx="1">
                  <c:v>Bass - 26.6%</c:v>
                </c:pt>
                <c:pt idx="2">
                  <c:v>Mackerel - 15.7%</c:v>
                </c:pt>
                <c:pt idx="3">
                  <c:v>Scallops - 14.4%</c:v>
                </c:pt>
                <c:pt idx="4">
                  <c:v>Cod - 3.1%</c:v>
                </c:pt>
                <c:pt idx="5">
                  <c:v>Others - 10.3%</c:v>
                </c:pt>
              </c:strCache>
            </c:strRef>
          </c:cat>
          <c:val>
            <c:numRef>
              <c:f>'U10m using hooks'!$H$77:$H$82</c:f>
              <c:numCache>
                <c:formatCode>0.0%</c:formatCode>
                <c:ptCount val="6"/>
                <c:pt idx="0">
                  <c:v>0.29837345634257517</c:v>
                </c:pt>
                <c:pt idx="1">
                  <c:v>0.26623622361044352</c:v>
                </c:pt>
                <c:pt idx="2">
                  <c:v>0.15721795276369671</c:v>
                </c:pt>
                <c:pt idx="3">
                  <c:v>0.14435473312197952</c:v>
                </c:pt>
                <c:pt idx="4">
                  <c:v>3.0775438819716994E-2</c:v>
                </c:pt>
                <c:pt idx="5">
                  <c:v>0.10304219534158798</c:v>
                </c:pt>
              </c:numCache>
            </c:numRef>
          </c:val>
          <c:extLst>
            <c:ext xmlns:c16="http://schemas.microsoft.com/office/drawing/2014/chart" uri="{C3380CC4-5D6E-409C-BE32-E72D297353CC}">
              <c16:uniqueId val="{0000000C-38A4-4FC2-8D83-A2F80AD45B4D}"/>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using hooks'!$K$77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'U10m using hooks'!$C$92</c:f>
              <c:strCache>
                <c:ptCount val="1"/>
                <c:pt idx="0">
                  <c:v>Razor Clam</c:v>
                </c:pt>
              </c:strCache>
            </c:strRef>
          </c:tx>
          <c:spPr>
            <a:solidFill>
              <a:srgbClr val="2273B9"/>
            </a:solidFill>
            <a:ln>
              <a:solidFill>
                <a:srgbClr val="FFFFFF"/>
              </a:solidFill>
            </a:ln>
          </c:spPr>
          <c:invertIfNegative val="0"/>
          <c:cat>
            <c:numRef>
              <c:f>'U10m using hooks'!$D$91:$M$91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using hooks'!$D$92:$M$92</c:f>
              <c:numCache>
                <c:formatCode>0%</c:formatCode>
                <c:ptCount val="10"/>
                <c:pt idx="0">
                  <c:v>0.27919446797822484</c:v>
                </c:pt>
                <c:pt idx="1">
                  <c:v>0.31141667646468979</c:v>
                </c:pt>
                <c:pt idx="2">
                  <c:v>0.13783119231677812</c:v>
                </c:pt>
                <c:pt idx="3">
                  <c:v>0.21859195914844093</c:v>
                </c:pt>
                <c:pt idx="4">
                  <c:v>0.28741259088271609</c:v>
                </c:pt>
                <c:pt idx="5">
                  <c:v>0.29544275449194413</c:v>
                </c:pt>
                <c:pt idx="6">
                  <c:v>0.27208691758001519</c:v>
                </c:pt>
                <c:pt idx="7">
                  <c:v>0.35701761239707852</c:v>
                </c:pt>
                <c:pt idx="8">
                  <c:v>0.29837345634257517</c:v>
                </c:pt>
                <c:pt idx="9">
                  <c:v>0.29544585968193138</c:v>
                </c:pt>
              </c:numCache>
            </c:numRef>
          </c:val>
          <c:extLst>
            <c:ext xmlns:c16="http://schemas.microsoft.com/office/drawing/2014/chart" uri="{C3380CC4-5D6E-409C-BE32-E72D297353CC}">
              <c16:uniqueId val="{00000000-3FEC-4613-B25E-CCBE6749025D}"/>
            </c:ext>
          </c:extLst>
        </c:ser>
        <c:ser>
          <c:idx val="1"/>
          <c:order val="1"/>
          <c:tx>
            <c:strRef>
              <c:f>'U10m using hooks'!$C$93</c:f>
              <c:strCache>
                <c:ptCount val="1"/>
                <c:pt idx="0">
                  <c:v>Bass</c:v>
                </c:pt>
              </c:strCache>
            </c:strRef>
          </c:tx>
          <c:spPr>
            <a:solidFill>
              <a:srgbClr val="E87308"/>
            </a:solidFill>
            <a:ln>
              <a:solidFill>
                <a:srgbClr val="FFFFFF"/>
              </a:solidFill>
            </a:ln>
          </c:spPr>
          <c:invertIfNegative val="0"/>
          <c:cat>
            <c:numRef>
              <c:f>'U10m using hooks'!$D$91:$M$91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using hooks'!$D$93:$M$93</c:f>
              <c:numCache>
                <c:formatCode>0%</c:formatCode>
                <c:ptCount val="10"/>
                <c:pt idx="0">
                  <c:v>0.21248345121293941</c:v>
                </c:pt>
                <c:pt idx="1">
                  <c:v>0.22682605482325513</c:v>
                </c:pt>
                <c:pt idx="2">
                  <c:v>0.32116198684164082</c:v>
                </c:pt>
                <c:pt idx="3">
                  <c:v>0.25458513133870647</c:v>
                </c:pt>
                <c:pt idx="4">
                  <c:v>0.2262429138774022</c:v>
                </c:pt>
                <c:pt idx="5">
                  <c:v>0.21050645095815926</c:v>
                </c:pt>
                <c:pt idx="6">
                  <c:v>0.24150489706503203</c:v>
                </c:pt>
                <c:pt idx="7">
                  <c:v>0.21148227692380761</c:v>
                </c:pt>
                <c:pt idx="8">
                  <c:v>0.26623622361044352</c:v>
                </c:pt>
                <c:pt idx="9">
                  <c:v>0.32265827488036869</c:v>
                </c:pt>
              </c:numCache>
            </c:numRef>
          </c:val>
          <c:extLst>
            <c:ext xmlns:c16="http://schemas.microsoft.com/office/drawing/2014/chart" uri="{C3380CC4-5D6E-409C-BE32-E72D297353CC}">
              <c16:uniqueId val="{00000001-3FEC-4613-B25E-CCBE6749025D}"/>
            </c:ext>
          </c:extLst>
        </c:ser>
        <c:ser>
          <c:idx val="2"/>
          <c:order val="2"/>
          <c:tx>
            <c:strRef>
              <c:f>'U10m using hooks'!$C$94</c:f>
              <c:strCache>
                <c:ptCount val="1"/>
                <c:pt idx="0">
                  <c:v>Mackerel</c:v>
                </c:pt>
              </c:strCache>
            </c:strRef>
          </c:tx>
          <c:spPr>
            <a:solidFill>
              <a:srgbClr val="648C2E"/>
            </a:solidFill>
            <a:ln>
              <a:solidFill>
                <a:srgbClr val="FFFFFF"/>
              </a:solidFill>
            </a:ln>
          </c:spPr>
          <c:invertIfNegative val="0"/>
          <c:cat>
            <c:numRef>
              <c:f>'U10m using hooks'!$D$91:$M$91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using hooks'!$D$94:$M$94</c:f>
              <c:numCache>
                <c:formatCode>0%</c:formatCode>
                <c:ptCount val="10"/>
                <c:pt idx="0">
                  <c:v>0.13148248361667758</c:v>
                </c:pt>
                <c:pt idx="1">
                  <c:v>0.10673358043299384</c:v>
                </c:pt>
                <c:pt idx="2">
                  <c:v>0.10508980186432716</c:v>
                </c:pt>
                <c:pt idx="3">
                  <c:v>8.0592152990605431E-2</c:v>
                </c:pt>
                <c:pt idx="4">
                  <c:v>0.10358897568382357</c:v>
                </c:pt>
                <c:pt idx="5">
                  <c:v>0.15261576022701329</c:v>
                </c:pt>
                <c:pt idx="6">
                  <c:v>0.12186294089352287</c:v>
                </c:pt>
                <c:pt idx="7">
                  <c:v>0.13601013349979019</c:v>
                </c:pt>
                <c:pt idx="8">
                  <c:v>0.15721795276369671</c:v>
                </c:pt>
                <c:pt idx="9">
                  <c:v>0.14697667100580447</c:v>
                </c:pt>
              </c:numCache>
            </c:numRef>
          </c:val>
          <c:extLst>
            <c:ext xmlns:c16="http://schemas.microsoft.com/office/drawing/2014/chart" uri="{C3380CC4-5D6E-409C-BE32-E72D297353CC}">
              <c16:uniqueId val="{00000002-3FEC-4613-B25E-CCBE6749025D}"/>
            </c:ext>
          </c:extLst>
        </c:ser>
        <c:ser>
          <c:idx val="3"/>
          <c:order val="3"/>
          <c:tx>
            <c:strRef>
              <c:f>'U10m using hooks'!$C$95</c:f>
              <c:strCache>
                <c:ptCount val="1"/>
                <c:pt idx="0">
                  <c:v>Scallops</c:v>
                </c:pt>
              </c:strCache>
            </c:strRef>
          </c:tx>
          <c:spPr>
            <a:solidFill>
              <a:srgbClr val="C1D119"/>
            </a:solidFill>
            <a:ln>
              <a:solidFill>
                <a:srgbClr val="FFFFFF"/>
              </a:solidFill>
            </a:ln>
          </c:spPr>
          <c:invertIfNegative val="0"/>
          <c:cat>
            <c:numRef>
              <c:f>'U10m using hooks'!$D$91:$M$91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using hooks'!$D$95:$M$95</c:f>
              <c:numCache>
                <c:formatCode>0%</c:formatCode>
                <c:ptCount val="10"/>
                <c:pt idx="0">
                  <c:v>0.16754322252222756</c:v>
                </c:pt>
                <c:pt idx="1">
                  <c:v>0.16996219309375496</c:v>
                </c:pt>
                <c:pt idx="2">
                  <c:v>0.26057548135537073</c:v>
                </c:pt>
                <c:pt idx="3">
                  <c:v>0.289731815883218</c:v>
                </c:pt>
                <c:pt idx="4">
                  <c:v>0.21521991971403304</c:v>
                </c:pt>
                <c:pt idx="5">
                  <c:v>0.16594160609956454</c:v>
                </c:pt>
                <c:pt idx="6">
                  <c:v>0.17934107830268026</c:v>
                </c:pt>
                <c:pt idx="7">
                  <c:v>0.16231050972396588</c:v>
                </c:pt>
                <c:pt idx="8">
                  <c:v>0.14435473312197952</c:v>
                </c:pt>
                <c:pt idx="9">
                  <c:v>9.7928294703032284E-2</c:v>
                </c:pt>
              </c:numCache>
            </c:numRef>
          </c:val>
          <c:extLst>
            <c:ext xmlns:c16="http://schemas.microsoft.com/office/drawing/2014/chart" uri="{C3380CC4-5D6E-409C-BE32-E72D297353CC}">
              <c16:uniqueId val="{00000003-3FEC-4613-B25E-CCBE6749025D}"/>
            </c:ext>
          </c:extLst>
        </c:ser>
        <c:ser>
          <c:idx val="4"/>
          <c:order val="4"/>
          <c:tx>
            <c:strRef>
              <c:f>'U10m using hooks'!$C$96</c:f>
              <c:strCache>
                <c:ptCount val="1"/>
                <c:pt idx="0">
                  <c:v>Cod</c:v>
                </c:pt>
              </c:strCache>
            </c:strRef>
          </c:tx>
          <c:spPr>
            <a:solidFill>
              <a:srgbClr val="E84A38"/>
            </a:solidFill>
            <a:ln>
              <a:solidFill>
                <a:srgbClr val="FFFFFF"/>
              </a:solidFill>
            </a:ln>
          </c:spPr>
          <c:invertIfNegative val="0"/>
          <c:cat>
            <c:numRef>
              <c:f>'U10m using hooks'!$D$91:$M$91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using hooks'!$D$96:$M$96</c:f>
              <c:numCache>
                <c:formatCode>0%</c:formatCode>
                <c:ptCount val="10"/>
                <c:pt idx="8">
                  <c:v>3.0775438819716994E-2</c:v>
                </c:pt>
              </c:numCache>
            </c:numRef>
          </c:val>
          <c:extLst>
            <c:ext xmlns:c16="http://schemas.microsoft.com/office/drawing/2014/chart" uri="{C3380CC4-5D6E-409C-BE32-E72D297353CC}">
              <c16:uniqueId val="{00000004-3FEC-4613-B25E-CCBE6749025D}"/>
            </c:ext>
          </c:extLst>
        </c:ser>
        <c:ser>
          <c:idx val="5"/>
          <c:order val="5"/>
          <c:tx>
            <c:strRef>
              <c:f>'U10m using hooks'!$C$97</c:f>
              <c:strCache>
                <c:ptCount val="1"/>
                <c:pt idx="0">
                  <c:v>Pollack</c:v>
                </c:pt>
              </c:strCache>
            </c:strRef>
          </c:tx>
          <c:spPr>
            <a:solidFill>
              <a:srgbClr val="0F9AA9"/>
            </a:solidFill>
            <a:ln>
              <a:solidFill>
                <a:srgbClr val="FFFFFF"/>
              </a:solidFill>
            </a:ln>
          </c:spPr>
          <c:invertIfNegative val="0"/>
          <c:cat>
            <c:numRef>
              <c:f>'U10m using hooks'!$D$91:$M$91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using hooks'!$D$97:$M$97</c:f>
              <c:numCache>
                <c:formatCode>0%</c:formatCode>
                <c:ptCount val="10"/>
                <c:pt idx="0">
                  <c:v>7.6646412587359283E-2</c:v>
                </c:pt>
                <c:pt idx="1">
                  <c:v>7.2725228129391348E-2</c:v>
                </c:pt>
                <c:pt idx="2">
                  <c:v>5.4083653060282448E-2</c:v>
                </c:pt>
                <c:pt idx="3">
                  <c:v>6.912197334418746E-2</c:v>
                </c:pt>
                <c:pt idx="4">
                  <c:v>5.6030024507622109E-2</c:v>
                </c:pt>
                <c:pt idx="5">
                  <c:v>6.4978593939146692E-2</c:v>
                </c:pt>
                <c:pt idx="6">
                  <c:v>5.9038540780753532E-2</c:v>
                </c:pt>
                <c:pt idx="7">
                  <c:v>4.1046393631328719E-2</c:v>
                </c:pt>
                <c:pt idx="9">
                  <c:v>4.4686672961297171E-2</c:v>
                </c:pt>
              </c:numCache>
            </c:numRef>
          </c:val>
          <c:extLst>
            <c:ext xmlns:c16="http://schemas.microsoft.com/office/drawing/2014/chart" uri="{C3380CC4-5D6E-409C-BE32-E72D297353CC}">
              <c16:uniqueId val="{00000005-3FEC-4613-B25E-CCBE6749025D}"/>
            </c:ext>
          </c:extLst>
        </c:ser>
        <c:ser>
          <c:idx val="6"/>
          <c:order val="6"/>
          <c:tx>
            <c:strRef>
              <c:f>'U10m using hooks'!$C$98</c:f>
              <c:strCache>
                <c:ptCount val="1"/>
                <c:pt idx="0">
                  <c:v>Others</c:v>
                </c:pt>
              </c:strCache>
            </c:strRef>
          </c:tx>
          <c:spPr>
            <a:solidFill>
              <a:srgbClr val="55585A"/>
            </a:solidFill>
            <a:ln>
              <a:solidFill>
                <a:srgbClr val="FFFFFF"/>
              </a:solidFill>
            </a:ln>
          </c:spPr>
          <c:invertIfNegative val="0"/>
          <c:cat>
            <c:numRef>
              <c:f>'U10m using hooks'!$D$91:$M$91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'U10m using hooks'!$D$98:$M$98</c:f>
              <c:numCache>
                <c:formatCode>0%</c:formatCode>
                <c:ptCount val="10"/>
                <c:pt idx="0">
                  <c:v>0.13264996208257132</c:v>
                </c:pt>
                <c:pt idx="1">
                  <c:v>0.11233626705591494</c:v>
                </c:pt>
                <c:pt idx="2">
                  <c:v>0.12125788456160072</c:v>
                </c:pt>
                <c:pt idx="3">
                  <c:v>8.7376967294841665E-2</c:v>
                </c:pt>
                <c:pt idx="4">
                  <c:v>0.11150557533440301</c:v>
                </c:pt>
                <c:pt idx="5">
                  <c:v>0.11051483428417211</c:v>
                </c:pt>
                <c:pt idx="6">
                  <c:v>0.12616562537799614</c:v>
                </c:pt>
                <c:pt idx="7">
                  <c:v>9.2133073824029119E-2</c:v>
                </c:pt>
                <c:pt idx="8">
                  <c:v>0.10304219534158804</c:v>
                </c:pt>
                <c:pt idx="9">
                  <c:v>9.2304226767566028E-2</c:v>
                </c:pt>
              </c:numCache>
            </c:numRef>
          </c:val>
          <c:extLst>
            <c:ext xmlns:c16="http://schemas.microsoft.com/office/drawing/2014/chart" uri="{C3380CC4-5D6E-409C-BE32-E72D297353CC}">
              <c16:uniqueId val="{00000006-3FEC-4613-B25E-CCBE6749025D}"/>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'U10m using hooks'!$B$162</c:f>
              <c:strCache>
                <c:ptCount val="1"/>
                <c:pt idx="0">
                  <c:v>Mackerel</c:v>
                </c:pt>
              </c:strCache>
            </c:strRef>
          </c:tx>
          <c:spPr>
            <a:solidFill>
              <a:srgbClr val="648C2E"/>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hooks'!$C$162:$E$162</c:f>
              <c:numCache>
                <c:formatCode>0%</c:formatCode>
                <c:ptCount val="3"/>
                <c:pt idx="0">
                  <c:v>0.1626792462904843</c:v>
                </c:pt>
                <c:pt idx="1">
                  <c:v>0.43334546845231287</c:v>
                </c:pt>
                <c:pt idx="2">
                  <c:v>0.58148873423120373</c:v>
                </c:pt>
              </c:numCache>
            </c:numRef>
          </c:val>
          <c:extLst>
            <c:ext xmlns:c16="http://schemas.microsoft.com/office/drawing/2014/chart" uri="{C3380CC4-5D6E-409C-BE32-E72D297353CC}">
              <c16:uniqueId val="{00000000-49F6-4B0F-B7B1-61FE316F561B}"/>
            </c:ext>
          </c:extLst>
        </c:ser>
        <c:ser>
          <c:idx val="1"/>
          <c:order val="1"/>
          <c:tx>
            <c:strRef>
              <c:f>'U10m using hooks'!$B$163</c:f>
              <c:strCache>
                <c:ptCount val="1"/>
                <c:pt idx="0">
                  <c:v>Scallops</c:v>
                </c:pt>
              </c:strCache>
            </c:strRef>
          </c:tx>
          <c:spPr>
            <a:solidFill>
              <a:srgbClr val="C1D119"/>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hooks'!$C$163:$E$163</c:f>
              <c:numCache>
                <c:formatCode>0%</c:formatCode>
                <c:ptCount val="3"/>
                <c:pt idx="0">
                  <c:v>0.12991432961739038</c:v>
                </c:pt>
                <c:pt idx="1">
                  <c:v>0.19260758014195234</c:v>
                </c:pt>
                <c:pt idx="2">
                  <c:v>6.7405538434331155E-2</c:v>
                </c:pt>
              </c:numCache>
            </c:numRef>
          </c:val>
          <c:extLst>
            <c:ext xmlns:c16="http://schemas.microsoft.com/office/drawing/2014/chart" uri="{C3380CC4-5D6E-409C-BE32-E72D297353CC}">
              <c16:uniqueId val="{00000001-49F6-4B0F-B7B1-61FE316F561B}"/>
            </c:ext>
          </c:extLst>
        </c:ser>
        <c:ser>
          <c:idx val="2"/>
          <c:order val="2"/>
          <c:tx>
            <c:strRef>
              <c:f>'U10m using hooks'!$B$164</c:f>
              <c:strCache>
                <c:ptCount val="1"/>
                <c:pt idx="0">
                  <c:v>Razor Clam</c:v>
                </c:pt>
              </c:strCache>
            </c:strRef>
          </c:tx>
          <c:spPr>
            <a:solidFill>
              <a:srgbClr val="2273B9"/>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hooks'!$C$164:$E$164</c:f>
              <c:numCache>
                <c:formatCode>0%</c:formatCode>
                <c:ptCount val="3"/>
                <c:pt idx="0">
                  <c:v>0.11408537458756084</c:v>
                </c:pt>
                <c:pt idx="1">
                  <c:v>0.13433240645357131</c:v>
                </c:pt>
                <c:pt idx="2">
                  <c:v>8.5114635163855021E-2</c:v>
                </c:pt>
              </c:numCache>
            </c:numRef>
          </c:val>
          <c:extLst>
            <c:ext xmlns:c16="http://schemas.microsoft.com/office/drawing/2014/chart" uri="{C3380CC4-5D6E-409C-BE32-E72D297353CC}">
              <c16:uniqueId val="{00000002-49F6-4B0F-B7B1-61FE316F561B}"/>
            </c:ext>
          </c:extLst>
        </c:ser>
        <c:ser>
          <c:idx val="3"/>
          <c:order val="3"/>
          <c:tx>
            <c:strRef>
              <c:f>'U10m using hooks'!$B$165</c:f>
              <c:strCache>
                <c:ptCount val="1"/>
                <c:pt idx="0">
                  <c:v>Bass</c:v>
                </c:pt>
              </c:strCache>
            </c:strRef>
          </c:tx>
          <c:spPr>
            <a:solidFill>
              <a:srgbClr val="E87308"/>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hooks'!$C$165:$E$165</c:f>
              <c:numCache>
                <c:formatCode>0%</c:formatCode>
                <c:ptCount val="3"/>
                <c:pt idx="0">
                  <c:v>4.8244490287497534E-2</c:v>
                </c:pt>
                <c:pt idx="1">
                  <c:v>0.10173234054635499</c:v>
                </c:pt>
                <c:pt idx="2">
                  <c:v>0.11746891563368117</c:v>
                </c:pt>
              </c:numCache>
            </c:numRef>
          </c:val>
          <c:extLst>
            <c:ext xmlns:c16="http://schemas.microsoft.com/office/drawing/2014/chart" uri="{C3380CC4-5D6E-409C-BE32-E72D297353CC}">
              <c16:uniqueId val="{00000003-49F6-4B0F-B7B1-61FE316F561B}"/>
            </c:ext>
          </c:extLst>
        </c:ser>
        <c:ser>
          <c:idx val="4"/>
          <c:order val="4"/>
          <c:tx>
            <c:strRef>
              <c:f>'U10m using hooks'!$B$166</c:f>
              <c:strCache>
                <c:ptCount val="1"/>
                <c:pt idx="0">
                  <c:v>Cod</c:v>
                </c:pt>
              </c:strCache>
            </c:strRef>
          </c:tx>
          <c:spPr>
            <a:solidFill>
              <a:srgbClr val="E84A38"/>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hooks'!$C$166:$E$166</c:f>
              <c:numCache>
                <c:formatCode>0%</c:formatCode>
                <c:ptCount val="3"/>
                <c:pt idx="0">
                  <c:v>2.2988432104018151E-2</c:v>
                </c:pt>
                <c:pt idx="1">
                  <c:v>4.6801879349870464E-2</c:v>
                </c:pt>
                <c:pt idx="2">
                  <c:v>4.3096206801960787E-2</c:v>
                </c:pt>
              </c:numCache>
            </c:numRef>
          </c:val>
          <c:extLst>
            <c:ext xmlns:c16="http://schemas.microsoft.com/office/drawing/2014/chart" uri="{C3380CC4-5D6E-409C-BE32-E72D297353CC}">
              <c16:uniqueId val="{00000004-49F6-4B0F-B7B1-61FE316F561B}"/>
            </c:ext>
          </c:extLst>
        </c:ser>
        <c:ser>
          <c:idx val="5"/>
          <c:order val="5"/>
          <c:tx>
            <c:strRef>
              <c:f>'U10m using hooks'!$B$167</c:f>
              <c:strCache>
                <c:ptCount val="1"/>
                <c:pt idx="0">
                  <c:v>Others</c:v>
                </c:pt>
              </c:strCache>
            </c:strRef>
          </c:tx>
          <c:spPr>
            <a:solidFill>
              <a:srgbClr val="55585A"/>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hooks'!$C$167:$E$167</c:f>
              <c:numCache>
                <c:formatCode>0%</c:formatCode>
                <c:ptCount val="3"/>
                <c:pt idx="0">
                  <c:v>0.52208812711304875</c:v>
                </c:pt>
                <c:pt idx="1">
                  <c:v>9.1180325055937872E-2</c:v>
                </c:pt>
                <c:pt idx="2">
                  <c:v>0.10542596973496821</c:v>
                </c:pt>
              </c:numCache>
            </c:numRef>
          </c:val>
          <c:extLst>
            <c:ext xmlns:c16="http://schemas.microsoft.com/office/drawing/2014/chart" uri="{C3380CC4-5D6E-409C-BE32-E72D297353CC}">
              <c16:uniqueId val="{00000005-49F6-4B0F-B7B1-61FE316F561B}"/>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'U10m using hooks'!$H$162</c:f>
              <c:strCache>
                <c:ptCount val="1"/>
                <c:pt idx="0">
                  <c:v>Razor Clam</c:v>
                </c:pt>
              </c:strCache>
            </c:strRef>
          </c:tx>
          <c:spPr>
            <a:solidFill>
              <a:srgbClr val="2273B9"/>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hooks'!$I$162:$K$162</c:f>
              <c:numCache>
                <c:formatCode>0%</c:formatCode>
                <c:ptCount val="3"/>
                <c:pt idx="0">
                  <c:v>0.18625881482475193</c:v>
                </c:pt>
                <c:pt idx="1">
                  <c:v>0.30122264035110752</c:v>
                </c:pt>
                <c:pt idx="2">
                  <c:v>0.17837087433258211</c:v>
                </c:pt>
              </c:numCache>
            </c:numRef>
          </c:val>
          <c:extLst>
            <c:ext xmlns:c16="http://schemas.microsoft.com/office/drawing/2014/chart" uri="{C3380CC4-5D6E-409C-BE32-E72D297353CC}">
              <c16:uniqueId val="{00000000-C821-4805-B380-6B5D609D9ECD}"/>
            </c:ext>
          </c:extLst>
        </c:ser>
        <c:ser>
          <c:idx val="1"/>
          <c:order val="1"/>
          <c:tx>
            <c:strRef>
              <c:f>'U10m using hooks'!$H$163</c:f>
              <c:strCache>
                <c:ptCount val="1"/>
                <c:pt idx="0">
                  <c:v>Bass</c:v>
                </c:pt>
              </c:strCache>
            </c:strRef>
          </c:tx>
          <c:spPr>
            <a:solidFill>
              <a:srgbClr val="E87308"/>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hooks'!$I$163:$K$163</c:f>
              <c:numCache>
                <c:formatCode>0%</c:formatCode>
                <c:ptCount val="3"/>
                <c:pt idx="0">
                  <c:v>8.2141620826702649E-2</c:v>
                </c:pt>
                <c:pt idx="1">
                  <c:v>0.27410795496799789</c:v>
                </c:pt>
                <c:pt idx="2">
                  <c:v>0.36335881066870235</c:v>
                </c:pt>
              </c:numCache>
            </c:numRef>
          </c:val>
          <c:extLst>
            <c:ext xmlns:c16="http://schemas.microsoft.com/office/drawing/2014/chart" uri="{C3380CC4-5D6E-409C-BE32-E72D297353CC}">
              <c16:uniqueId val="{00000001-C821-4805-B380-6B5D609D9ECD}"/>
            </c:ext>
          </c:extLst>
        </c:ser>
        <c:ser>
          <c:idx val="2"/>
          <c:order val="2"/>
          <c:tx>
            <c:strRef>
              <c:f>'U10m using hooks'!$H$164</c:f>
              <c:strCache>
                <c:ptCount val="1"/>
                <c:pt idx="0">
                  <c:v>Scallops</c:v>
                </c:pt>
              </c:strCache>
            </c:strRef>
          </c:tx>
          <c:spPr>
            <a:solidFill>
              <a:srgbClr val="C1D119"/>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hooks'!$I$164:$K$164</c:f>
              <c:numCache>
                <c:formatCode>0%</c:formatCode>
                <c:ptCount val="3"/>
                <c:pt idx="0">
                  <c:v>8.7631675758724867E-2</c:v>
                </c:pt>
                <c:pt idx="1">
                  <c:v>0.15303617532580477</c:v>
                </c:pt>
                <c:pt idx="2">
                  <c:v>7.2083634357571647E-2</c:v>
                </c:pt>
              </c:numCache>
            </c:numRef>
          </c:val>
          <c:extLst>
            <c:ext xmlns:c16="http://schemas.microsoft.com/office/drawing/2014/chart" uri="{C3380CC4-5D6E-409C-BE32-E72D297353CC}">
              <c16:uniqueId val="{00000002-C821-4805-B380-6B5D609D9ECD}"/>
            </c:ext>
          </c:extLst>
        </c:ser>
        <c:ser>
          <c:idx val="3"/>
          <c:order val="3"/>
          <c:tx>
            <c:strRef>
              <c:f>'U10m using hooks'!$H$165</c:f>
              <c:strCache>
                <c:ptCount val="1"/>
                <c:pt idx="0">
                  <c:v>Mackerel</c:v>
                </c:pt>
              </c:strCache>
            </c:strRef>
          </c:tx>
          <c:spPr>
            <a:solidFill>
              <a:srgbClr val="648C2E"/>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hooks'!$I$165:$K$165</c:f>
              <c:numCache>
                <c:formatCode>0%</c:formatCode>
                <c:ptCount val="3"/>
                <c:pt idx="0">
                  <c:v>4.4988698566880966E-2</c:v>
                </c:pt>
                <c:pt idx="1">
                  <c:v>0.15215968368388477</c:v>
                </c:pt>
                <c:pt idx="2">
                  <c:v>0.25124396920921233</c:v>
                </c:pt>
              </c:numCache>
            </c:numRef>
          </c:val>
          <c:extLst>
            <c:ext xmlns:c16="http://schemas.microsoft.com/office/drawing/2014/chart" uri="{C3380CC4-5D6E-409C-BE32-E72D297353CC}">
              <c16:uniqueId val="{00000003-C821-4805-B380-6B5D609D9ECD}"/>
            </c:ext>
          </c:extLst>
        </c:ser>
        <c:ser>
          <c:idx val="4"/>
          <c:order val="4"/>
          <c:tx>
            <c:strRef>
              <c:f>'U10m using hooks'!$H$166</c:f>
              <c:strCache>
                <c:ptCount val="1"/>
                <c:pt idx="0">
                  <c:v>Pollack</c:v>
                </c:pt>
              </c:strCache>
            </c:strRef>
          </c:tx>
          <c:spPr>
            <a:solidFill>
              <a:srgbClr val="0F9AA9"/>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hooks'!$I$166:$K$166</c:f>
              <c:numCache>
                <c:formatCode>0%</c:formatCode>
                <c:ptCount val="3"/>
                <c:pt idx="0">
                  <c:v>0</c:v>
                </c:pt>
                <c:pt idx="1">
                  <c:v>3.758536602278735E-2</c:v>
                </c:pt>
                <c:pt idx="2">
                  <c:v>0</c:v>
                </c:pt>
              </c:numCache>
            </c:numRef>
          </c:val>
          <c:extLst>
            <c:ext xmlns:c16="http://schemas.microsoft.com/office/drawing/2014/chart" uri="{C3380CC4-5D6E-409C-BE32-E72D297353CC}">
              <c16:uniqueId val="{00000004-C821-4805-B380-6B5D609D9ECD}"/>
            </c:ext>
          </c:extLst>
        </c:ser>
        <c:ser>
          <c:idx val="5"/>
          <c:order val="5"/>
          <c:tx>
            <c:strRef>
              <c:f>'U10m using hooks'!$H$167</c:f>
              <c:strCache>
                <c:ptCount val="1"/>
                <c:pt idx="0">
                  <c:v>Lobsters</c:v>
                </c:pt>
              </c:strCache>
            </c:strRef>
          </c:tx>
          <c:spPr>
            <a:solidFill>
              <a:srgbClr val="FED825"/>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hooks'!$I$167:$K$167</c:f>
              <c:numCache>
                <c:formatCode>0%</c:formatCode>
                <c:ptCount val="3"/>
                <c:pt idx="0">
                  <c:v>0</c:v>
                </c:pt>
                <c:pt idx="1">
                  <c:v>0</c:v>
                </c:pt>
                <c:pt idx="2">
                  <c:v>3.600967603687371E-2</c:v>
                </c:pt>
              </c:numCache>
            </c:numRef>
          </c:val>
          <c:extLst>
            <c:ext xmlns:c16="http://schemas.microsoft.com/office/drawing/2014/chart" uri="{C3380CC4-5D6E-409C-BE32-E72D297353CC}">
              <c16:uniqueId val="{00000005-C821-4805-B380-6B5D609D9ECD}"/>
            </c:ext>
          </c:extLst>
        </c:ser>
        <c:ser>
          <c:idx val="6"/>
          <c:order val="6"/>
          <c:tx>
            <c:strRef>
              <c:f>'U10m using hooks'!$H$168</c:f>
              <c:strCache>
                <c:ptCount val="1"/>
                <c:pt idx="0">
                  <c:v>Cod</c:v>
                </c:pt>
              </c:strCache>
            </c:strRef>
          </c:tx>
          <c:spPr>
            <a:solidFill>
              <a:srgbClr val="E84A38"/>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hooks'!$I$168:$K$168</c:f>
              <c:numCache>
                <c:formatCode>0%</c:formatCode>
                <c:ptCount val="3"/>
                <c:pt idx="0">
                  <c:v>1.0428027021260822E-2</c:v>
                </c:pt>
                <c:pt idx="1">
                  <c:v>0</c:v>
                </c:pt>
                <c:pt idx="2">
                  <c:v>0</c:v>
                </c:pt>
              </c:numCache>
            </c:numRef>
          </c:val>
          <c:extLst>
            <c:ext xmlns:c16="http://schemas.microsoft.com/office/drawing/2014/chart" uri="{C3380CC4-5D6E-409C-BE32-E72D297353CC}">
              <c16:uniqueId val="{00000006-C821-4805-B380-6B5D609D9ECD}"/>
            </c:ext>
          </c:extLst>
        </c:ser>
        <c:ser>
          <c:idx val="7"/>
          <c:order val="7"/>
          <c:tx>
            <c:strRef>
              <c:f>'U10m using hooks'!$H$169</c:f>
              <c:strCache>
                <c:ptCount val="1"/>
                <c:pt idx="0">
                  <c:v>Others</c:v>
                </c:pt>
              </c:strCache>
            </c:strRef>
          </c:tx>
          <c:spPr>
            <a:solidFill>
              <a:srgbClr val="55585A"/>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hooks'!$I$169:$K$169</c:f>
              <c:numCache>
                <c:formatCode>0%</c:formatCode>
                <c:ptCount val="3"/>
                <c:pt idx="0">
                  <c:v>0.58855116300167876</c:v>
                </c:pt>
                <c:pt idx="1">
                  <c:v>8.1888179648417658E-2</c:v>
                </c:pt>
                <c:pt idx="2">
                  <c:v>9.8933035395057822E-2</c:v>
                </c:pt>
              </c:numCache>
            </c:numRef>
          </c:val>
          <c:extLst>
            <c:ext xmlns:c16="http://schemas.microsoft.com/office/drawing/2014/chart" uri="{C3380CC4-5D6E-409C-BE32-E72D297353CC}">
              <c16:uniqueId val="{00000007-C821-4805-B380-6B5D609D9ECD}"/>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'U10m using hooks'!$K$139</c:f>
              <c:strCache>
                <c:ptCount val="1"/>
                <c:pt idx="0">
                  <c:v>Total income</c:v>
                </c:pt>
              </c:strCache>
            </c:strRef>
          </c:tx>
          <c:spPr>
            <a:solidFill>
              <a:srgbClr val="087CBB"/>
            </a:solidFill>
            <a:ln>
              <a:solidFill>
                <a:schemeClr val="accent1"/>
              </a:solidFill>
            </a:ln>
          </c:spPr>
          <c:invertIfNegative val="0"/>
          <c:cat>
            <c:strRef>
              <c:f>'U10m using hooks'!$L$138:$N$138</c:f>
              <c:strCache>
                <c:ptCount val="3"/>
                <c:pt idx="0">
                  <c:v>Most
profitable
quartile</c:v>
                </c:pt>
                <c:pt idx="1">
                  <c:v>Middle
two quartiles</c:v>
                </c:pt>
                <c:pt idx="2">
                  <c:v>Least
profitable
quartile</c:v>
                </c:pt>
              </c:strCache>
            </c:strRef>
          </c:cat>
          <c:val>
            <c:numRef>
              <c:f>'U10m using hooks'!$L$139:$N$139</c:f>
              <c:numCache>
                <c:formatCode>#,##0</c:formatCode>
                <c:ptCount val="3"/>
                <c:pt idx="0">
                  <c:v>80.325734374999996</c:v>
                </c:pt>
                <c:pt idx="1">
                  <c:v>49.008083984374998</c:v>
                </c:pt>
                <c:pt idx="2">
                  <c:v>25.49426171875</c:v>
                </c:pt>
              </c:numCache>
            </c:numRef>
          </c:val>
          <c:extLst>
            <c:ext xmlns:c16="http://schemas.microsoft.com/office/drawing/2014/chart" uri="{C3380CC4-5D6E-409C-BE32-E72D297353CC}">
              <c16:uniqueId val="{00000000-8C2F-4C0E-92E3-E5E10E330FC5}"/>
            </c:ext>
          </c:extLst>
        </c:ser>
        <c:ser>
          <c:idx val="1"/>
          <c:order val="1"/>
          <c:tx>
            <c:strRef>
              <c:f>'U10m using hooks'!$K$140</c:f>
              <c:strCache>
                <c:ptCount val="1"/>
                <c:pt idx="0">
                  <c:v>Operating costs</c:v>
                </c:pt>
              </c:strCache>
            </c:strRef>
          </c:tx>
          <c:spPr>
            <a:solidFill>
              <a:srgbClr val="E87308"/>
            </a:solidFill>
          </c:spPr>
          <c:invertIfNegative val="0"/>
          <c:cat>
            <c:strRef>
              <c:f>'U10m using hooks'!$L$138:$N$138</c:f>
              <c:strCache>
                <c:ptCount val="3"/>
                <c:pt idx="0">
                  <c:v>Most
profitable
quartile</c:v>
                </c:pt>
                <c:pt idx="1">
                  <c:v>Middle
two quartiles</c:v>
                </c:pt>
                <c:pt idx="2">
                  <c:v>Least
profitable
quartile</c:v>
                </c:pt>
              </c:strCache>
            </c:strRef>
          </c:cat>
          <c:val>
            <c:numRef>
              <c:f>'U10m using hooks'!$L$140:$N$140</c:f>
              <c:numCache>
                <c:formatCode>#,##0</c:formatCode>
                <c:ptCount val="3"/>
                <c:pt idx="0">
                  <c:v>51.000304687499998</c:v>
                </c:pt>
                <c:pt idx="1">
                  <c:v>32.902323242187499</c:v>
                </c:pt>
                <c:pt idx="2">
                  <c:v>19.968392578124998</c:v>
                </c:pt>
              </c:numCache>
            </c:numRef>
          </c:val>
          <c:extLst>
            <c:ext xmlns:c16="http://schemas.microsoft.com/office/drawing/2014/chart" uri="{C3380CC4-5D6E-409C-BE32-E72D297353CC}">
              <c16:uniqueId val="{00000001-8C2F-4C0E-92E3-E5E10E330FC5}"/>
            </c:ext>
          </c:extLst>
        </c:ser>
        <c:ser>
          <c:idx val="2"/>
          <c:order val="2"/>
          <c:tx>
            <c:strRef>
              <c:f>'U10m using hooks'!$K$141</c:f>
              <c:strCache>
                <c:ptCount val="1"/>
                <c:pt idx="0">
                  <c:v>Operating profit</c:v>
                </c:pt>
              </c:strCache>
            </c:strRef>
          </c:tx>
          <c:spPr>
            <a:solidFill>
              <a:srgbClr val="51AA81"/>
            </a:solidFill>
          </c:spPr>
          <c:invertIfNegative val="0"/>
          <c:cat>
            <c:strRef>
              <c:f>'U10m using hooks'!$L$138:$N$138</c:f>
              <c:strCache>
                <c:ptCount val="3"/>
                <c:pt idx="0">
                  <c:v>Most
profitable
quartile</c:v>
                </c:pt>
                <c:pt idx="1">
                  <c:v>Middle
two quartiles</c:v>
                </c:pt>
                <c:pt idx="2">
                  <c:v>Least
profitable
quartile</c:v>
                </c:pt>
              </c:strCache>
            </c:strRef>
          </c:cat>
          <c:val>
            <c:numRef>
              <c:f>'U10m using hooks'!$L$141:$N$141</c:f>
              <c:numCache>
                <c:formatCode>#,##0</c:formatCode>
                <c:ptCount val="3"/>
                <c:pt idx="0">
                  <c:v>29.325429687500002</c:v>
                </c:pt>
                <c:pt idx="1">
                  <c:v>16.105760742187499</c:v>
                </c:pt>
                <c:pt idx="2">
                  <c:v>5.5258691406249998</c:v>
                </c:pt>
              </c:numCache>
            </c:numRef>
          </c:val>
          <c:extLst>
            <c:ext xmlns:c16="http://schemas.microsoft.com/office/drawing/2014/chart" uri="{C3380CC4-5D6E-409C-BE32-E72D297353CC}">
              <c16:uniqueId val="{00000002-8C2F-4C0E-92E3-E5E10E330FC5}"/>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'U10m using hooks'!$K$142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250kW'!$A$48</c:f>
          <c:strCache>
            <c:ptCount val="1"/>
            <c:pt idx="0">
              <c:v>Landings per kW day at sea (kg)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FA49-4D09-A82C-2C6D3DF19CC3}"/>
              </c:ext>
            </c:extLst>
          </c:dPt>
          <c:dPt>
            <c:idx val="10"/>
            <c:bubble3D val="0"/>
            <c:spPr>
              <a:ln w="57150">
                <a:solidFill>
                  <a:srgbClr val="2273B9"/>
                </a:solidFill>
                <a:prstDash val="sysDot"/>
              </a:ln>
            </c:spPr>
            <c:extLst>
              <c:ext xmlns:c16="http://schemas.microsoft.com/office/drawing/2014/chart" uri="{C3380CC4-5D6E-409C-BE32-E72D297353CC}">
                <c16:uniqueId val="{00000003-FA49-4D09-A82C-2C6D3DF19CC3}"/>
              </c:ext>
            </c:extLst>
          </c:dPt>
          <c:cat>
            <c:numRef>
              <c:f>'WOS nephrops over 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'WOS nephrops over 250kW'!$D$21:$N$21</c:f>
              <c:numCache>
                <c:formatCode>#,##0.00</c:formatCode>
                <c:ptCount val="11"/>
                <c:pt idx="0">
                  <c:v>2.6858696515414779</c:v>
                </c:pt>
                <c:pt idx="1">
                  <c:v>2.9922154868455353</c:v>
                </c:pt>
                <c:pt idx="2">
                  <c:v>2.5581684467125867</c:v>
                </c:pt>
                <c:pt idx="3">
                  <c:v>2.6258873452062752</c:v>
                </c:pt>
                <c:pt idx="4">
                  <c:v>2.2740631791526993</c:v>
                </c:pt>
                <c:pt idx="5">
                  <c:v>2.7163436092090691</c:v>
                </c:pt>
                <c:pt idx="6">
                  <c:v>2.5478683877913251</c:v>
                </c:pt>
                <c:pt idx="7">
                  <c:v>1.8524710411230856</c:v>
                </c:pt>
                <c:pt idx="8">
                  <c:v>2.530334505139392</c:v>
                </c:pt>
                <c:pt idx="9">
                  <c:v>2.2726202738731365</c:v>
                </c:pt>
                <c:pt idx="10">
                  <c:v>2.4629507788814813</c:v>
                </c:pt>
              </c:numCache>
            </c:numRef>
          </c:val>
          <c:smooth val="0"/>
          <c:extLst>
            <c:ext xmlns:c16="http://schemas.microsoft.com/office/drawing/2014/chart" uri="{C3380CC4-5D6E-409C-BE32-E72D297353CC}">
              <c16:uniqueId val="{00000004-FA49-4D09-A82C-2C6D3DF19CC3}"/>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250kW'!$A$49</c:f>
          <c:strCache>
            <c:ptCount val="1"/>
            <c:pt idx="0">
              <c:v>Fishing income per kW day at sea (£)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419E-4853-8C46-1CE488789627}"/>
              </c:ext>
            </c:extLst>
          </c:dPt>
          <c:dPt>
            <c:idx val="10"/>
            <c:bubble3D val="0"/>
            <c:spPr>
              <a:ln w="57150">
                <a:solidFill>
                  <a:srgbClr val="648C2E"/>
                </a:solidFill>
                <a:prstDash val="sysDot"/>
              </a:ln>
            </c:spPr>
            <c:extLst>
              <c:ext xmlns:c16="http://schemas.microsoft.com/office/drawing/2014/chart" uri="{C3380CC4-5D6E-409C-BE32-E72D297353CC}">
                <c16:uniqueId val="{00000003-419E-4853-8C46-1CE488789627}"/>
              </c:ext>
            </c:extLst>
          </c:dPt>
          <c:cat>
            <c:numRef>
              <c:f>'WOS nephrops over 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'WOS nephrops over 250kW'!$D$22:$N$22</c:f>
              <c:numCache>
                <c:formatCode>#,##0.00</c:formatCode>
                <c:ptCount val="11"/>
                <c:pt idx="0">
                  <c:v>7.1702282773561397</c:v>
                </c:pt>
                <c:pt idx="1">
                  <c:v>7.4150420870046103</c:v>
                </c:pt>
                <c:pt idx="2">
                  <c:v>6.3993738930132897</c:v>
                </c:pt>
                <c:pt idx="3">
                  <c:v>6.3714774311653102</c:v>
                </c:pt>
                <c:pt idx="4">
                  <c:v>5.9406720392252499</c:v>
                </c:pt>
                <c:pt idx="5">
                  <c:v>6.4664544569662796</c:v>
                </c:pt>
                <c:pt idx="6">
                  <c:v>6.24824544483078</c:v>
                </c:pt>
                <c:pt idx="7">
                  <c:v>5.8031203168313299</c:v>
                </c:pt>
                <c:pt idx="8">
                  <c:v>7.2393962154700304</c:v>
                </c:pt>
                <c:pt idx="9">
                  <c:v>4.5055088436372897</c:v>
                </c:pt>
                <c:pt idx="10">
                  <c:v>5.3015594477796846</c:v>
                </c:pt>
              </c:numCache>
            </c:numRef>
          </c:val>
          <c:smooth val="0"/>
          <c:extLst>
            <c:ext xmlns:c16="http://schemas.microsoft.com/office/drawing/2014/chart" uri="{C3380CC4-5D6E-409C-BE32-E72D297353CC}">
              <c16:uniqueId val="{00000004-419E-4853-8C46-1CE488789627}"/>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250kW'!$B$62</c:f>
          <c:strCache>
            <c:ptCount val="1"/>
            <c:pt idx="0">
              <c:v>Total cost per kW day at sea (£)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2706-40E3-8ACE-A283982EF4EA}"/>
              </c:ext>
            </c:extLst>
          </c:dPt>
          <c:dPt>
            <c:idx val="10"/>
            <c:bubble3D val="0"/>
            <c:spPr>
              <a:ln w="57150">
                <a:solidFill>
                  <a:srgbClr val="087CBB"/>
                </a:solidFill>
                <a:prstDash val="sysDot"/>
              </a:ln>
            </c:spPr>
            <c:extLst>
              <c:ext xmlns:c16="http://schemas.microsoft.com/office/drawing/2014/chart" uri="{C3380CC4-5D6E-409C-BE32-E72D297353CC}">
                <c16:uniqueId val="{00000003-2706-40E3-8ACE-A283982EF4EA}"/>
              </c:ext>
            </c:extLst>
          </c:dPt>
          <c:cat>
            <c:numRef>
              <c:f>'WOS nephrops over 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'WOS nephrops over 250kW'!$D$23:$N$23</c:f>
              <c:numCache>
                <c:formatCode>#,##0.00</c:formatCode>
                <c:ptCount val="11"/>
                <c:pt idx="0">
                  <c:v>5.6728260823599701</c:v>
                </c:pt>
                <c:pt idx="1">
                  <c:v>6.1347269305114596</c:v>
                </c:pt>
                <c:pt idx="2">
                  <c:v>5.6909509568367804</c:v>
                </c:pt>
                <c:pt idx="3">
                  <c:v>5.5738693076526697</c:v>
                </c:pt>
                <c:pt idx="4">
                  <c:v>5.1538293000154898</c:v>
                </c:pt>
                <c:pt idx="5">
                  <c:v>5.4546401609149902</c:v>
                </c:pt>
                <c:pt idx="6">
                  <c:v>5.8201875723810996</c:v>
                </c:pt>
                <c:pt idx="7">
                  <c:v>5.59953839512825</c:v>
                </c:pt>
                <c:pt idx="8">
                  <c:v>6.3055007675227097</c:v>
                </c:pt>
                <c:pt idx="9">
                  <c:v>4.6261223588034097</c:v>
                </c:pt>
                <c:pt idx="10">
                  <c:v>5.1292109556027201</c:v>
                </c:pt>
              </c:numCache>
            </c:numRef>
          </c:val>
          <c:smooth val="0"/>
          <c:extLst>
            <c:ext xmlns:c16="http://schemas.microsoft.com/office/drawing/2014/chart" uri="{C3380CC4-5D6E-409C-BE32-E72D297353CC}">
              <c16:uniqueId val="{00000004-2706-40E3-8ACE-A283982EF4EA}"/>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'Area VIIa nephrops u250kW'!$B$162</c:f>
              <c:strCache>
                <c:ptCount val="1"/>
                <c:pt idx="0">
                  <c:v>Nephrops</c:v>
                </c:pt>
              </c:strCache>
            </c:strRef>
          </c:tx>
          <c:spPr>
            <a:solidFill>
              <a:srgbClr val="2273B9"/>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u250kW'!$C$162:$E$162</c:f>
              <c:numCache>
                <c:formatCode>0%</c:formatCode>
                <c:ptCount val="3"/>
                <c:pt idx="0">
                  <c:v>0.21481650986371023</c:v>
                </c:pt>
                <c:pt idx="1">
                  <c:v>0.88761495379634581</c:v>
                </c:pt>
                <c:pt idx="2">
                  <c:v>0.72670481046636937</c:v>
                </c:pt>
              </c:numCache>
            </c:numRef>
          </c:val>
          <c:extLst>
            <c:ext xmlns:c16="http://schemas.microsoft.com/office/drawing/2014/chart" uri="{C3380CC4-5D6E-409C-BE32-E72D297353CC}">
              <c16:uniqueId val="{00000000-DF70-4EFE-97F2-831CBC0A3393}"/>
            </c:ext>
          </c:extLst>
        </c:ser>
        <c:ser>
          <c:idx val="1"/>
          <c:order val="1"/>
          <c:tx>
            <c:strRef>
              <c:f>'Area VIIa nephrops u250kW'!$B$163</c:f>
              <c:strCache>
                <c:ptCount val="1"/>
                <c:pt idx="0">
                  <c:v>Scallops</c:v>
                </c:pt>
              </c:strCache>
            </c:strRef>
          </c:tx>
          <c:spPr>
            <a:solidFill>
              <a:srgbClr val="E87308"/>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u250kW'!$C$163:$E$163</c:f>
              <c:numCache>
                <c:formatCode>0%</c:formatCode>
                <c:ptCount val="3"/>
                <c:pt idx="0">
                  <c:v>1.0706520535011265E-2</c:v>
                </c:pt>
                <c:pt idx="1">
                  <c:v>3.3163742018898469E-2</c:v>
                </c:pt>
                <c:pt idx="2">
                  <c:v>0.12090631001543319</c:v>
                </c:pt>
              </c:numCache>
            </c:numRef>
          </c:val>
          <c:extLst>
            <c:ext xmlns:c16="http://schemas.microsoft.com/office/drawing/2014/chart" uri="{C3380CC4-5D6E-409C-BE32-E72D297353CC}">
              <c16:uniqueId val="{00000001-DF70-4EFE-97F2-831CBC0A3393}"/>
            </c:ext>
          </c:extLst>
        </c:ser>
        <c:ser>
          <c:idx val="2"/>
          <c:order val="2"/>
          <c:tx>
            <c:strRef>
              <c:f>'Area VIIa nephrops u250kW'!$B$164</c:f>
              <c:strCache>
                <c:ptCount val="1"/>
                <c:pt idx="0">
                  <c:v>Les. Spot. Dog</c:v>
                </c:pt>
              </c:strCache>
            </c:strRef>
          </c:tx>
          <c:spPr>
            <a:solidFill>
              <a:srgbClr val="E84A38"/>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u250kW'!$C$164:$E$164</c:f>
              <c:numCache>
                <c:formatCode>0%</c:formatCode>
                <c:ptCount val="3"/>
                <c:pt idx="0">
                  <c:v>4.0813626483585967E-3</c:v>
                </c:pt>
                <c:pt idx="1">
                  <c:v>2.6771119891378849E-2</c:v>
                </c:pt>
                <c:pt idx="2">
                  <c:v>6.9278024599152943E-2</c:v>
                </c:pt>
              </c:numCache>
            </c:numRef>
          </c:val>
          <c:extLst>
            <c:ext xmlns:c16="http://schemas.microsoft.com/office/drawing/2014/chart" uri="{C3380CC4-5D6E-409C-BE32-E72D297353CC}">
              <c16:uniqueId val="{00000002-DF70-4EFE-97F2-831CBC0A3393}"/>
            </c:ext>
          </c:extLst>
        </c:ser>
        <c:ser>
          <c:idx val="3"/>
          <c:order val="3"/>
          <c:tx>
            <c:strRef>
              <c:f>'Area VIIa nephrops u250kW'!$B$165</c:f>
              <c:strCache>
                <c:ptCount val="1"/>
                <c:pt idx="0">
                  <c:v>Anglerfish</c:v>
                </c:pt>
              </c:strCache>
            </c:strRef>
          </c:tx>
          <c:spPr>
            <a:solidFill>
              <a:srgbClr val="648C2E"/>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u250kW'!$C$165:$E$165</c:f>
              <c:numCache>
                <c:formatCode>0%</c:formatCode>
                <c:ptCount val="3"/>
                <c:pt idx="0">
                  <c:v>3.8999618577224382E-3</c:v>
                </c:pt>
                <c:pt idx="1">
                  <c:v>1.276962693497991E-2</c:v>
                </c:pt>
                <c:pt idx="2">
                  <c:v>0</c:v>
                </c:pt>
              </c:numCache>
            </c:numRef>
          </c:val>
          <c:extLst>
            <c:ext xmlns:c16="http://schemas.microsoft.com/office/drawing/2014/chart" uri="{C3380CC4-5D6E-409C-BE32-E72D297353CC}">
              <c16:uniqueId val="{00000003-DF70-4EFE-97F2-831CBC0A3393}"/>
            </c:ext>
          </c:extLst>
        </c:ser>
        <c:ser>
          <c:idx val="4"/>
          <c:order val="4"/>
          <c:tx>
            <c:strRef>
              <c:f>'Area VIIa nephrops u250kW'!$B$166</c:f>
              <c:strCache>
                <c:ptCount val="1"/>
                <c:pt idx="0">
                  <c:v>Plaice</c:v>
                </c:pt>
              </c:strCache>
            </c:strRef>
          </c:tx>
          <c:spPr>
            <a:solidFill>
              <a:srgbClr val="FED825"/>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u250kW'!$C$166:$E$166</c:f>
              <c:numCache>
                <c:formatCode>0%</c:formatCode>
                <c:ptCount val="3"/>
                <c:pt idx="0">
                  <c:v>0</c:v>
                </c:pt>
                <c:pt idx="1">
                  <c:v>1.1954790512932273E-2</c:v>
                </c:pt>
                <c:pt idx="2">
                  <c:v>0</c:v>
                </c:pt>
              </c:numCache>
            </c:numRef>
          </c:val>
          <c:extLst>
            <c:ext xmlns:c16="http://schemas.microsoft.com/office/drawing/2014/chart" uri="{C3380CC4-5D6E-409C-BE32-E72D297353CC}">
              <c16:uniqueId val="{00000004-DF70-4EFE-97F2-831CBC0A3393}"/>
            </c:ext>
          </c:extLst>
        </c:ser>
        <c:ser>
          <c:idx val="5"/>
          <c:order val="5"/>
          <c:tx>
            <c:strRef>
              <c:f>'Area VIIa nephrops u250kW'!$B$167</c:f>
              <c:strCache>
                <c:ptCount val="1"/>
                <c:pt idx="0">
                  <c:v>Queen Scallops</c:v>
                </c:pt>
              </c:strCache>
            </c:strRef>
          </c:tx>
          <c:spPr>
            <a:solidFill>
              <a:srgbClr val="169FDB"/>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u250kW'!$C$167:$E$167</c:f>
              <c:numCache>
                <c:formatCode>0%</c:formatCode>
                <c:ptCount val="3"/>
                <c:pt idx="0">
                  <c:v>0</c:v>
                </c:pt>
                <c:pt idx="1">
                  <c:v>0</c:v>
                </c:pt>
                <c:pt idx="2">
                  <c:v>2.7863759358968145E-2</c:v>
                </c:pt>
              </c:numCache>
            </c:numRef>
          </c:val>
          <c:extLst>
            <c:ext xmlns:c16="http://schemas.microsoft.com/office/drawing/2014/chart" uri="{C3380CC4-5D6E-409C-BE32-E72D297353CC}">
              <c16:uniqueId val="{00000005-DF70-4EFE-97F2-831CBC0A3393}"/>
            </c:ext>
          </c:extLst>
        </c:ser>
        <c:ser>
          <c:idx val="6"/>
          <c:order val="6"/>
          <c:tx>
            <c:strRef>
              <c:f>'Area VIIa nephrops u250kW'!$B$168</c:f>
              <c:strCache>
                <c:ptCount val="1"/>
                <c:pt idx="0">
                  <c:v>Brown Crab</c:v>
                </c:pt>
              </c:strCache>
            </c:strRef>
          </c:tx>
          <c:spPr>
            <a:solidFill>
              <a:srgbClr val="C1D119"/>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u250kW'!$C$168:$E$168</c:f>
              <c:numCache>
                <c:formatCode>0%</c:formatCode>
                <c:ptCount val="3"/>
                <c:pt idx="0">
                  <c:v>0</c:v>
                </c:pt>
                <c:pt idx="1">
                  <c:v>0</c:v>
                </c:pt>
                <c:pt idx="2">
                  <c:v>2.234232909528662E-2</c:v>
                </c:pt>
              </c:numCache>
            </c:numRef>
          </c:val>
          <c:extLst>
            <c:ext xmlns:c16="http://schemas.microsoft.com/office/drawing/2014/chart" uri="{C3380CC4-5D6E-409C-BE32-E72D297353CC}">
              <c16:uniqueId val="{00000006-DF70-4EFE-97F2-831CBC0A3393}"/>
            </c:ext>
          </c:extLst>
        </c:ser>
        <c:ser>
          <c:idx val="7"/>
          <c:order val="7"/>
          <c:tx>
            <c:strRef>
              <c:f>'Area VIIa nephrops u250kW'!$B$169</c:f>
              <c:strCache>
                <c:ptCount val="1"/>
                <c:pt idx="0">
                  <c:v>Thornback Ray</c:v>
                </c:pt>
              </c:strCache>
            </c:strRef>
          </c:tx>
          <c:spPr>
            <a:solidFill>
              <a:srgbClr val="0F9AA9"/>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u250kW'!$C$169:$E$169</c:f>
              <c:numCache>
                <c:formatCode>0%</c:formatCode>
                <c:ptCount val="3"/>
                <c:pt idx="0">
                  <c:v>5.5561014192367789E-3</c:v>
                </c:pt>
                <c:pt idx="1">
                  <c:v>0</c:v>
                </c:pt>
                <c:pt idx="2">
                  <c:v>0</c:v>
                </c:pt>
              </c:numCache>
            </c:numRef>
          </c:val>
          <c:extLst>
            <c:ext xmlns:c16="http://schemas.microsoft.com/office/drawing/2014/chart" uri="{C3380CC4-5D6E-409C-BE32-E72D297353CC}">
              <c16:uniqueId val="{00000007-DF70-4EFE-97F2-831CBC0A3393}"/>
            </c:ext>
          </c:extLst>
        </c:ser>
        <c:ser>
          <c:idx val="8"/>
          <c:order val="8"/>
          <c:tx>
            <c:strRef>
              <c:f>'Area VIIa nephrops u250kW'!$B$170</c:f>
              <c:strCache>
                <c:ptCount val="1"/>
                <c:pt idx="0">
                  <c:v>Others</c:v>
                </c:pt>
              </c:strCache>
            </c:strRef>
          </c:tx>
          <c:spPr>
            <a:solidFill>
              <a:srgbClr val="55585A"/>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u250kW'!$C$170:$E$170</c:f>
              <c:numCache>
                <c:formatCode>0%</c:formatCode>
                <c:ptCount val="3"/>
                <c:pt idx="0">
                  <c:v>0.76093954367596073</c:v>
                </c:pt>
                <c:pt idx="1">
                  <c:v>2.7725766845464683E-2</c:v>
                </c:pt>
                <c:pt idx="2">
                  <c:v>3.2904766464789681E-2</c:v>
                </c:pt>
              </c:numCache>
            </c:numRef>
          </c:val>
          <c:extLst>
            <c:ext xmlns:c16="http://schemas.microsoft.com/office/drawing/2014/chart" uri="{C3380CC4-5D6E-409C-BE32-E72D297353CC}">
              <c16:uniqueId val="{00000008-DF70-4EFE-97F2-831CBC0A3393}"/>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250kW'!$K$48</c:f>
          <c:strCache>
            <c:ptCount val="1"/>
            <c:pt idx="0">
              <c:v>Operating profit per kW day at sea (£)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7C60-43E6-93EA-EF6AB458B29E}"/>
              </c:ext>
            </c:extLst>
          </c:dPt>
          <c:dPt>
            <c:idx val="10"/>
            <c:bubble3D val="0"/>
            <c:spPr>
              <a:ln w="57150">
                <a:solidFill>
                  <a:schemeClr val="accent3"/>
                </a:solidFill>
                <a:prstDash val="sysDot"/>
              </a:ln>
            </c:spPr>
            <c:extLst>
              <c:ext xmlns:c16="http://schemas.microsoft.com/office/drawing/2014/chart" uri="{C3380CC4-5D6E-409C-BE32-E72D297353CC}">
                <c16:uniqueId val="{00000003-7C60-43E6-93EA-EF6AB458B29E}"/>
              </c:ext>
            </c:extLst>
          </c:dPt>
          <c:cat>
            <c:numRef>
              <c:f>'WOS nephrops over 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'WOS nephrops over 250kW'!$D$24:$N$24</c:f>
              <c:numCache>
                <c:formatCode>#,##0.00</c:formatCode>
                <c:ptCount val="11"/>
                <c:pt idx="0">
                  <c:v>1.57131254941078</c:v>
                </c:pt>
                <c:pt idx="1">
                  <c:v>1.6880229213357401</c:v>
                </c:pt>
                <c:pt idx="2">
                  <c:v>0.83060271407231101</c:v>
                </c:pt>
                <c:pt idx="3">
                  <c:v>1.3228270550191099</c:v>
                </c:pt>
                <c:pt idx="4">
                  <c:v>0.94221981658371701</c:v>
                </c:pt>
                <c:pt idx="5">
                  <c:v>1.1321284169558099</c:v>
                </c:pt>
                <c:pt idx="6">
                  <c:v>0.93218424684533996</c:v>
                </c:pt>
                <c:pt idx="7">
                  <c:v>0.37647158092166899</c:v>
                </c:pt>
                <c:pt idx="8">
                  <c:v>1.0848384166321201</c:v>
                </c:pt>
                <c:pt idx="9">
                  <c:v>0.43371956289633301</c:v>
                </c:pt>
                <c:pt idx="10">
                  <c:v>0.41951122717273748</c:v>
                </c:pt>
              </c:numCache>
            </c:numRef>
          </c:val>
          <c:smooth val="0"/>
          <c:extLst>
            <c:ext xmlns:c16="http://schemas.microsoft.com/office/drawing/2014/chart" uri="{C3380CC4-5D6E-409C-BE32-E72D297353CC}">
              <c16:uniqueId val="{00000004-7C60-43E6-93EA-EF6AB458B29E}"/>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250kW'!$A$50</c:f>
          <c:strCache>
            <c:ptCount val="1"/>
            <c:pt idx="0">
              <c:v>Average price per tonne landed (£)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9A31-4A8E-8C46-FA58558FDBD6}"/>
              </c:ext>
            </c:extLst>
          </c:dPt>
          <c:dPt>
            <c:idx val="10"/>
            <c:bubble3D val="0"/>
            <c:spPr>
              <a:ln w="57150">
                <a:solidFill>
                  <a:schemeClr val="accent4"/>
                </a:solidFill>
                <a:prstDash val="sysDot"/>
              </a:ln>
            </c:spPr>
            <c:extLst>
              <c:ext xmlns:c16="http://schemas.microsoft.com/office/drawing/2014/chart" uri="{C3380CC4-5D6E-409C-BE32-E72D297353CC}">
                <c16:uniqueId val="{00000003-9A31-4A8E-8C46-FA58558FDBD6}"/>
              </c:ext>
            </c:extLst>
          </c:dPt>
          <c:cat>
            <c:numRef>
              <c:f>'WOS nephrops over 250kW'!$D$2:$M$2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over 250kW'!$D$20:$N$20</c:f>
              <c:numCache>
                <c:formatCode>#,##0</c:formatCode>
                <c:ptCount val="11"/>
                <c:pt idx="0">
                  <c:v>2670</c:v>
                </c:pt>
                <c:pt idx="1">
                  <c:v>2478</c:v>
                </c:pt>
                <c:pt idx="2">
                  <c:v>2502</c:v>
                </c:pt>
                <c:pt idx="3">
                  <c:v>2426</c:v>
                </c:pt>
                <c:pt idx="4">
                  <c:v>2612</c:v>
                </c:pt>
                <c:pt idx="5">
                  <c:v>2381</c:v>
                </c:pt>
                <c:pt idx="6">
                  <c:v>2452</c:v>
                </c:pt>
                <c:pt idx="7">
                  <c:v>3133</c:v>
                </c:pt>
                <c:pt idx="8">
                  <c:v>2861</c:v>
                </c:pt>
                <c:pt idx="9">
                  <c:v>1983</c:v>
                </c:pt>
                <c:pt idx="10">
                  <c:v>2153</c:v>
                </c:pt>
              </c:numCache>
            </c:numRef>
          </c:val>
          <c:smooth val="0"/>
          <c:extLst>
            <c:ext xmlns:c16="http://schemas.microsoft.com/office/drawing/2014/chart" uri="{C3380CC4-5D6E-409C-BE32-E72D297353CC}">
              <c16:uniqueId val="{00000004-9A31-4A8E-8C46-FA58558FDBD6}"/>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250kW'!$K$62</c:f>
          <c:strCache>
            <c:ptCount val="1"/>
            <c:pt idx="0">
              <c:v>Average annual operating profit per vessel (£'000)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103B-4FF0-B1B6-34AE7C62FE54}"/>
              </c:ext>
            </c:extLst>
          </c:dPt>
          <c:dPt>
            <c:idx val="10"/>
            <c:bubble3D val="0"/>
            <c:spPr>
              <a:ln w="57150">
                <a:solidFill>
                  <a:schemeClr val="accent5"/>
                </a:solidFill>
                <a:prstDash val="sysDot"/>
              </a:ln>
            </c:spPr>
            <c:extLst>
              <c:ext xmlns:c16="http://schemas.microsoft.com/office/drawing/2014/chart" uri="{C3380CC4-5D6E-409C-BE32-E72D297353CC}">
                <c16:uniqueId val="{00000003-103B-4FF0-B1B6-34AE7C62FE54}"/>
              </c:ext>
            </c:extLst>
          </c:dPt>
          <c:cat>
            <c:numRef>
              <c:f>'WOS nephrops over 250kW'!$D$2:$M$2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over 250kW'!$D$37:$N$37</c:f>
              <c:numCache>
                <c:formatCode>#,##0.0</c:formatCode>
                <c:ptCount val="11"/>
                <c:pt idx="0">
                  <c:v>84.2</c:v>
                </c:pt>
                <c:pt idx="1">
                  <c:v>100</c:v>
                </c:pt>
                <c:pt idx="2">
                  <c:v>49.4</c:v>
                </c:pt>
                <c:pt idx="3">
                  <c:v>82.7</c:v>
                </c:pt>
                <c:pt idx="4">
                  <c:v>56</c:v>
                </c:pt>
                <c:pt idx="5">
                  <c:v>70.7</c:v>
                </c:pt>
                <c:pt idx="6">
                  <c:v>54.1</c:v>
                </c:pt>
                <c:pt idx="7">
                  <c:v>20.5</c:v>
                </c:pt>
                <c:pt idx="8">
                  <c:v>61.9</c:v>
                </c:pt>
                <c:pt idx="9">
                  <c:v>18.899999999999999</c:v>
                </c:pt>
                <c:pt idx="10">
                  <c:v>20.3</c:v>
                </c:pt>
              </c:numCache>
            </c:numRef>
          </c:val>
          <c:smooth val="0"/>
          <c:extLst>
            <c:ext xmlns:c16="http://schemas.microsoft.com/office/drawing/2014/chart" uri="{C3380CC4-5D6E-409C-BE32-E72D297353CC}">
              <c16:uniqueId val="{00000004-103B-4FF0-B1B6-34AE7C62FE54}"/>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over 250kW'!$A$76</c:f>
          <c:strCache>
            <c:ptCount val="1"/>
            <c:pt idx="0">
              <c:v>Top 5 landed species by volume in 2020
WOS nephrops over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0CC5-4F01-BA06-CDEC20789093}"/>
              </c:ext>
            </c:extLst>
          </c:dPt>
          <c:dPt>
            <c:idx val="1"/>
            <c:bubble3D val="0"/>
            <c:spPr>
              <a:solidFill>
                <a:srgbClr val="648C2E"/>
              </a:solidFill>
              <a:ln>
                <a:solidFill>
                  <a:srgbClr val="FFFFFF"/>
                </a:solidFill>
              </a:ln>
            </c:spPr>
            <c:extLst>
              <c:ext xmlns:c16="http://schemas.microsoft.com/office/drawing/2014/chart" uri="{C3380CC4-5D6E-409C-BE32-E72D297353CC}">
                <c16:uniqueId val="{00000003-0CC5-4F01-BA06-CDEC20789093}"/>
              </c:ext>
            </c:extLst>
          </c:dPt>
          <c:dPt>
            <c:idx val="2"/>
            <c:bubble3D val="0"/>
            <c:spPr>
              <a:solidFill>
                <a:srgbClr val="C1D119"/>
              </a:solidFill>
              <a:ln>
                <a:solidFill>
                  <a:srgbClr val="FFFFFF"/>
                </a:solidFill>
              </a:ln>
            </c:spPr>
            <c:extLst>
              <c:ext xmlns:c16="http://schemas.microsoft.com/office/drawing/2014/chart" uri="{C3380CC4-5D6E-409C-BE32-E72D297353CC}">
                <c16:uniqueId val="{00000005-0CC5-4F01-BA06-CDEC20789093}"/>
              </c:ext>
            </c:extLst>
          </c:dPt>
          <c:dPt>
            <c:idx val="3"/>
            <c:bubble3D val="0"/>
            <c:spPr>
              <a:solidFill>
                <a:srgbClr val="E84A38"/>
              </a:solidFill>
              <a:ln>
                <a:solidFill>
                  <a:srgbClr val="FFFFFF"/>
                </a:solidFill>
              </a:ln>
            </c:spPr>
            <c:extLst>
              <c:ext xmlns:c16="http://schemas.microsoft.com/office/drawing/2014/chart" uri="{C3380CC4-5D6E-409C-BE32-E72D297353CC}">
                <c16:uniqueId val="{00000007-0CC5-4F01-BA06-CDEC20789093}"/>
              </c:ext>
            </c:extLst>
          </c:dPt>
          <c:dPt>
            <c:idx val="4"/>
            <c:bubble3D val="0"/>
            <c:spPr>
              <a:solidFill>
                <a:srgbClr val="E87308"/>
              </a:solidFill>
              <a:ln>
                <a:solidFill>
                  <a:srgbClr val="FFFFFF"/>
                </a:solidFill>
              </a:ln>
            </c:spPr>
            <c:extLst>
              <c:ext xmlns:c16="http://schemas.microsoft.com/office/drawing/2014/chart" uri="{C3380CC4-5D6E-409C-BE32-E72D297353CC}">
                <c16:uniqueId val="{00000009-0CC5-4F01-BA06-CDEC20789093}"/>
              </c:ext>
            </c:extLst>
          </c:dPt>
          <c:dPt>
            <c:idx val="5"/>
            <c:bubble3D val="0"/>
            <c:spPr>
              <a:solidFill>
                <a:srgbClr val="55585A"/>
              </a:solidFill>
              <a:ln>
                <a:solidFill>
                  <a:srgbClr val="FFFFFF"/>
                </a:solidFill>
              </a:ln>
            </c:spPr>
            <c:extLst>
              <c:ext xmlns:c16="http://schemas.microsoft.com/office/drawing/2014/chart" uri="{C3380CC4-5D6E-409C-BE32-E72D297353CC}">
                <c16:uniqueId val="{0000000B-0CC5-4F01-BA06-CDEC20789093}"/>
              </c:ext>
            </c:extLst>
          </c:dPt>
          <c:cat>
            <c:strRef>
              <c:f>'WOS nephrops over 250kW'!$B$77:$B$82</c:f>
              <c:strCache>
                <c:ptCount val="6"/>
                <c:pt idx="0">
                  <c:v>Nephrops - 82.2%</c:v>
                </c:pt>
                <c:pt idx="1">
                  <c:v>Sprats - 12.3%</c:v>
                </c:pt>
                <c:pt idx="2">
                  <c:v>Anglerfish - 1.5%</c:v>
                </c:pt>
                <c:pt idx="3">
                  <c:v>Haddock - 1.3%</c:v>
                </c:pt>
                <c:pt idx="4">
                  <c:v>Squid - 0.9%</c:v>
                </c:pt>
                <c:pt idx="5">
                  <c:v>Others - 1.9%</c:v>
                </c:pt>
              </c:strCache>
            </c:strRef>
          </c:cat>
          <c:val>
            <c:numRef>
              <c:f>'WOS nephrops over 250kW'!$C$77:$C$82</c:f>
              <c:numCache>
                <c:formatCode>0.0%</c:formatCode>
                <c:ptCount val="6"/>
                <c:pt idx="0">
                  <c:v>0.82206663443196393</c:v>
                </c:pt>
                <c:pt idx="1">
                  <c:v>0.12296322684608417</c:v>
                </c:pt>
                <c:pt idx="2">
                  <c:v>1.4898565228200673E-2</c:v>
                </c:pt>
                <c:pt idx="3">
                  <c:v>1.2728364055320599E-2</c:v>
                </c:pt>
                <c:pt idx="4">
                  <c:v>8.6904641054550077E-3</c:v>
                </c:pt>
                <c:pt idx="5">
                  <c:v>1.8652745332975562E-2</c:v>
                </c:pt>
              </c:numCache>
            </c:numRef>
          </c:val>
          <c:extLst>
            <c:ext xmlns:c16="http://schemas.microsoft.com/office/drawing/2014/chart" uri="{C3380CC4-5D6E-409C-BE32-E72D297353CC}">
              <c16:uniqueId val="{0000000C-0CC5-4F01-BA06-CDEC20789093}"/>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over 250kW'!$F$76</c:f>
          <c:strCache>
            <c:ptCount val="1"/>
            <c:pt idx="0">
              <c:v>Top 5 landed species by value in 2020
WOS nephrops over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41D5-402C-A77F-4A1F1A94F7EF}"/>
              </c:ext>
            </c:extLst>
          </c:dPt>
          <c:dPt>
            <c:idx val="1"/>
            <c:bubble3D val="0"/>
            <c:spPr>
              <a:solidFill>
                <a:srgbClr val="E87308"/>
              </a:solidFill>
              <a:ln>
                <a:solidFill>
                  <a:srgbClr val="FFFFFF"/>
                </a:solidFill>
              </a:ln>
            </c:spPr>
            <c:extLst>
              <c:ext xmlns:c16="http://schemas.microsoft.com/office/drawing/2014/chart" uri="{C3380CC4-5D6E-409C-BE32-E72D297353CC}">
                <c16:uniqueId val="{00000003-41D5-402C-A77F-4A1F1A94F7EF}"/>
              </c:ext>
            </c:extLst>
          </c:dPt>
          <c:dPt>
            <c:idx val="2"/>
            <c:bubble3D val="0"/>
            <c:spPr>
              <a:solidFill>
                <a:srgbClr val="648C2E"/>
              </a:solidFill>
              <a:ln>
                <a:solidFill>
                  <a:srgbClr val="FFFFFF"/>
                </a:solidFill>
              </a:ln>
            </c:spPr>
            <c:extLst>
              <c:ext xmlns:c16="http://schemas.microsoft.com/office/drawing/2014/chart" uri="{C3380CC4-5D6E-409C-BE32-E72D297353CC}">
                <c16:uniqueId val="{00000005-41D5-402C-A77F-4A1F1A94F7EF}"/>
              </c:ext>
            </c:extLst>
          </c:dPt>
          <c:dPt>
            <c:idx val="3"/>
            <c:bubble3D val="0"/>
            <c:spPr>
              <a:solidFill>
                <a:srgbClr val="C1D119"/>
              </a:solidFill>
              <a:ln>
                <a:solidFill>
                  <a:srgbClr val="FFFFFF"/>
                </a:solidFill>
              </a:ln>
            </c:spPr>
            <c:extLst>
              <c:ext xmlns:c16="http://schemas.microsoft.com/office/drawing/2014/chart" uri="{C3380CC4-5D6E-409C-BE32-E72D297353CC}">
                <c16:uniqueId val="{00000007-41D5-402C-A77F-4A1F1A94F7EF}"/>
              </c:ext>
            </c:extLst>
          </c:dPt>
          <c:dPt>
            <c:idx val="4"/>
            <c:bubble3D val="0"/>
            <c:spPr>
              <a:solidFill>
                <a:srgbClr val="E84A38"/>
              </a:solidFill>
              <a:ln>
                <a:solidFill>
                  <a:srgbClr val="FFFFFF"/>
                </a:solidFill>
              </a:ln>
            </c:spPr>
            <c:extLst>
              <c:ext xmlns:c16="http://schemas.microsoft.com/office/drawing/2014/chart" uri="{C3380CC4-5D6E-409C-BE32-E72D297353CC}">
                <c16:uniqueId val="{00000009-41D5-402C-A77F-4A1F1A94F7EF}"/>
              </c:ext>
            </c:extLst>
          </c:dPt>
          <c:dPt>
            <c:idx val="5"/>
            <c:bubble3D val="0"/>
            <c:spPr>
              <a:solidFill>
                <a:srgbClr val="55585A"/>
              </a:solidFill>
              <a:ln>
                <a:solidFill>
                  <a:srgbClr val="FFFFFF"/>
                </a:solidFill>
              </a:ln>
            </c:spPr>
            <c:extLst>
              <c:ext xmlns:c16="http://schemas.microsoft.com/office/drawing/2014/chart" uri="{C3380CC4-5D6E-409C-BE32-E72D297353CC}">
                <c16:uniqueId val="{0000000B-41D5-402C-A77F-4A1F1A94F7EF}"/>
              </c:ext>
            </c:extLst>
          </c:dPt>
          <c:cat>
            <c:strRef>
              <c:f>'WOS nephrops over 250kW'!$G$77:$G$82</c:f>
              <c:strCache>
                <c:ptCount val="6"/>
                <c:pt idx="0">
                  <c:v>Nephrops - 92.3%</c:v>
                </c:pt>
                <c:pt idx="1">
                  <c:v>Squid - 2.0%</c:v>
                </c:pt>
                <c:pt idx="2">
                  <c:v>Sprats - 1.9%</c:v>
                </c:pt>
                <c:pt idx="3">
                  <c:v>Anglerfish - 1.7%</c:v>
                </c:pt>
                <c:pt idx="4">
                  <c:v>Haddock - 0.7%</c:v>
                </c:pt>
                <c:pt idx="5">
                  <c:v>Others - 1.4%</c:v>
                </c:pt>
              </c:strCache>
            </c:strRef>
          </c:cat>
          <c:val>
            <c:numRef>
              <c:f>'WOS nephrops over 250kW'!$H$77:$H$82</c:f>
              <c:numCache>
                <c:formatCode>0.0%</c:formatCode>
                <c:ptCount val="6"/>
                <c:pt idx="0">
                  <c:v>0.92326249403603688</c:v>
                </c:pt>
                <c:pt idx="1">
                  <c:v>2.0377603200775935E-2</c:v>
                </c:pt>
                <c:pt idx="2">
                  <c:v>1.9308867870896605E-2</c:v>
                </c:pt>
                <c:pt idx="3">
                  <c:v>1.6783718940734011E-2</c:v>
                </c:pt>
                <c:pt idx="4">
                  <c:v>6.5004185286972813E-3</c:v>
                </c:pt>
                <c:pt idx="5">
                  <c:v>1.3766897422859192E-2</c:v>
                </c:pt>
              </c:numCache>
            </c:numRef>
          </c:val>
          <c:extLst>
            <c:ext xmlns:c16="http://schemas.microsoft.com/office/drawing/2014/chart" uri="{C3380CC4-5D6E-409C-BE32-E72D297353CC}">
              <c16:uniqueId val="{0000000C-41D5-402C-A77F-4A1F1A94F7EF}"/>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over 250kW'!$K$77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'WOS nephrops over 250kW'!$C$92</c:f>
              <c:strCache>
                <c:ptCount val="1"/>
                <c:pt idx="0">
                  <c:v>Nephrops</c:v>
                </c:pt>
              </c:strCache>
            </c:strRef>
          </c:tx>
          <c:spPr>
            <a:solidFill>
              <a:srgbClr val="2273B9"/>
            </a:solidFill>
            <a:ln>
              <a:solidFill>
                <a:srgbClr val="FFFFFF"/>
              </a:solidFill>
            </a:ln>
          </c:spPr>
          <c:invertIfNegative val="0"/>
          <c:cat>
            <c:numRef>
              <c:f>'WOS nephrops over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over 250kW'!$D$92:$M$92</c:f>
              <c:numCache>
                <c:formatCode>0%</c:formatCode>
                <c:ptCount val="10"/>
                <c:pt idx="0">
                  <c:v>0.91943309379649329</c:v>
                </c:pt>
                <c:pt idx="1">
                  <c:v>0.93126832345099486</c:v>
                </c:pt>
                <c:pt idx="2">
                  <c:v>0.91807383408086729</c:v>
                </c:pt>
                <c:pt idx="3">
                  <c:v>0.9174952671797485</c:v>
                </c:pt>
                <c:pt idx="4">
                  <c:v>0.90393682729957858</c:v>
                </c:pt>
                <c:pt idx="5">
                  <c:v>0.88710845209298883</c:v>
                </c:pt>
                <c:pt idx="6">
                  <c:v>0.91508897991877314</c:v>
                </c:pt>
                <c:pt idx="7">
                  <c:v>0.788018738677288</c:v>
                </c:pt>
                <c:pt idx="8">
                  <c:v>0.92326249403603688</c:v>
                </c:pt>
                <c:pt idx="9">
                  <c:v>0.95397631631066904</c:v>
                </c:pt>
              </c:numCache>
            </c:numRef>
          </c:val>
          <c:extLst>
            <c:ext xmlns:c16="http://schemas.microsoft.com/office/drawing/2014/chart" uri="{C3380CC4-5D6E-409C-BE32-E72D297353CC}">
              <c16:uniqueId val="{00000000-5D4A-439B-A8B6-A7FBD2F0E16D}"/>
            </c:ext>
          </c:extLst>
        </c:ser>
        <c:ser>
          <c:idx val="1"/>
          <c:order val="1"/>
          <c:tx>
            <c:strRef>
              <c:f>'WOS nephrops over 250kW'!$C$93</c:f>
              <c:strCache>
                <c:ptCount val="1"/>
                <c:pt idx="0">
                  <c:v>Squid</c:v>
                </c:pt>
              </c:strCache>
            </c:strRef>
          </c:tx>
          <c:spPr>
            <a:solidFill>
              <a:srgbClr val="E87308"/>
            </a:solidFill>
            <a:ln>
              <a:solidFill>
                <a:srgbClr val="FFFFFF"/>
              </a:solidFill>
            </a:ln>
          </c:spPr>
          <c:invertIfNegative val="0"/>
          <c:cat>
            <c:numRef>
              <c:f>'WOS nephrops over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over 250kW'!$D$93:$M$93</c:f>
              <c:numCache>
                <c:formatCode>0%</c:formatCode>
                <c:ptCount val="10"/>
                <c:pt idx="2">
                  <c:v>8.671942962357633E-3</c:v>
                </c:pt>
                <c:pt idx="5">
                  <c:v>1.6611758190301067E-2</c:v>
                </c:pt>
                <c:pt idx="6">
                  <c:v>1.5907261911607871E-2</c:v>
                </c:pt>
                <c:pt idx="7">
                  <c:v>8.5133319245226977E-2</c:v>
                </c:pt>
                <c:pt idx="8">
                  <c:v>2.0377603200775935E-2</c:v>
                </c:pt>
                <c:pt idx="9">
                  <c:v>1.2564721025406848E-2</c:v>
                </c:pt>
              </c:numCache>
            </c:numRef>
          </c:val>
          <c:extLst>
            <c:ext xmlns:c16="http://schemas.microsoft.com/office/drawing/2014/chart" uri="{C3380CC4-5D6E-409C-BE32-E72D297353CC}">
              <c16:uniqueId val="{00000001-5D4A-439B-A8B6-A7FBD2F0E16D}"/>
            </c:ext>
          </c:extLst>
        </c:ser>
        <c:ser>
          <c:idx val="2"/>
          <c:order val="2"/>
          <c:tx>
            <c:strRef>
              <c:f>'WOS nephrops over 250kW'!$C$94</c:f>
              <c:strCache>
                <c:ptCount val="1"/>
                <c:pt idx="0">
                  <c:v>Sprats</c:v>
                </c:pt>
              </c:strCache>
            </c:strRef>
          </c:tx>
          <c:spPr>
            <a:solidFill>
              <a:srgbClr val="648C2E"/>
            </a:solidFill>
            <a:ln>
              <a:solidFill>
                <a:srgbClr val="FFFFFF"/>
              </a:solidFill>
            </a:ln>
          </c:spPr>
          <c:invertIfNegative val="0"/>
          <c:cat>
            <c:numRef>
              <c:f>'WOS nephrops over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over 250kW'!$D$94:$M$94</c:f>
              <c:numCache>
                <c:formatCode>0%</c:formatCode>
                <c:ptCount val="10"/>
                <c:pt idx="0">
                  <c:v>2.8373227308299005E-2</c:v>
                </c:pt>
                <c:pt idx="1">
                  <c:v>1.8609151696166691E-2</c:v>
                </c:pt>
                <c:pt idx="2">
                  <c:v>2.6568068637269692E-2</c:v>
                </c:pt>
                <c:pt idx="3">
                  <c:v>1.9552337169447306E-2</c:v>
                </c:pt>
                <c:pt idx="4">
                  <c:v>2.7197899656840215E-2</c:v>
                </c:pt>
                <c:pt idx="5">
                  <c:v>2.1176848875785054E-2</c:v>
                </c:pt>
                <c:pt idx="7">
                  <c:v>1.4570117871962978E-2</c:v>
                </c:pt>
                <c:pt idx="8">
                  <c:v>1.9308867870896605E-2</c:v>
                </c:pt>
                <c:pt idx="9">
                  <c:v>6.9021666435457978E-3</c:v>
                </c:pt>
              </c:numCache>
            </c:numRef>
          </c:val>
          <c:extLst>
            <c:ext xmlns:c16="http://schemas.microsoft.com/office/drawing/2014/chart" uri="{C3380CC4-5D6E-409C-BE32-E72D297353CC}">
              <c16:uniqueId val="{00000002-5D4A-439B-A8B6-A7FBD2F0E16D}"/>
            </c:ext>
          </c:extLst>
        </c:ser>
        <c:ser>
          <c:idx val="3"/>
          <c:order val="3"/>
          <c:tx>
            <c:strRef>
              <c:f>'WOS nephrops over 250kW'!$C$95</c:f>
              <c:strCache>
                <c:ptCount val="1"/>
                <c:pt idx="0">
                  <c:v>Anglerfish</c:v>
                </c:pt>
              </c:strCache>
            </c:strRef>
          </c:tx>
          <c:spPr>
            <a:solidFill>
              <a:srgbClr val="C1D119"/>
            </a:solidFill>
            <a:ln>
              <a:solidFill>
                <a:srgbClr val="FFFFFF"/>
              </a:solidFill>
            </a:ln>
          </c:spPr>
          <c:invertIfNegative val="0"/>
          <c:cat>
            <c:numRef>
              <c:f>'WOS nephrops over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over 250kW'!$D$95:$M$95</c:f>
              <c:numCache>
                <c:formatCode>0%</c:formatCode>
                <c:ptCount val="10"/>
                <c:pt idx="0">
                  <c:v>1.274600107218702E-2</c:v>
                </c:pt>
                <c:pt idx="1">
                  <c:v>1.5107256187754357E-2</c:v>
                </c:pt>
                <c:pt idx="2">
                  <c:v>1.5684346272758675E-2</c:v>
                </c:pt>
                <c:pt idx="3">
                  <c:v>3.0322621399217063E-2</c:v>
                </c:pt>
                <c:pt idx="4">
                  <c:v>2.9032363209429996E-2</c:v>
                </c:pt>
                <c:pt idx="5">
                  <c:v>2.4396918433128429E-2</c:v>
                </c:pt>
                <c:pt idx="6">
                  <c:v>3.1632530033876331E-2</c:v>
                </c:pt>
                <c:pt idx="7">
                  <c:v>4.3742362284765843E-2</c:v>
                </c:pt>
                <c:pt idx="8">
                  <c:v>1.6783718940734011E-2</c:v>
                </c:pt>
                <c:pt idx="9">
                  <c:v>1.243929807122288E-2</c:v>
                </c:pt>
              </c:numCache>
            </c:numRef>
          </c:val>
          <c:extLst>
            <c:ext xmlns:c16="http://schemas.microsoft.com/office/drawing/2014/chart" uri="{C3380CC4-5D6E-409C-BE32-E72D297353CC}">
              <c16:uniqueId val="{00000003-5D4A-439B-A8B6-A7FBD2F0E16D}"/>
            </c:ext>
          </c:extLst>
        </c:ser>
        <c:ser>
          <c:idx val="4"/>
          <c:order val="4"/>
          <c:tx>
            <c:strRef>
              <c:f>'WOS nephrops over 250kW'!$C$96</c:f>
              <c:strCache>
                <c:ptCount val="1"/>
                <c:pt idx="0">
                  <c:v>Haddock</c:v>
                </c:pt>
              </c:strCache>
            </c:strRef>
          </c:tx>
          <c:spPr>
            <a:solidFill>
              <a:srgbClr val="E84A38"/>
            </a:solidFill>
            <a:ln>
              <a:solidFill>
                <a:srgbClr val="FFFFFF"/>
              </a:solidFill>
            </a:ln>
          </c:spPr>
          <c:invertIfNegative val="0"/>
          <c:cat>
            <c:numRef>
              <c:f>'WOS nephrops over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over 250kW'!$D$96:$M$96</c:f>
              <c:numCache>
                <c:formatCode>0%</c:formatCode>
                <c:ptCount val="10"/>
                <c:pt idx="0">
                  <c:v>1.1051857190903829E-2</c:v>
                </c:pt>
                <c:pt idx="1">
                  <c:v>1.1591821444137743E-2</c:v>
                </c:pt>
                <c:pt idx="2">
                  <c:v>9.7292073950730786E-3</c:v>
                </c:pt>
                <c:pt idx="3">
                  <c:v>9.0728109939999333E-3</c:v>
                </c:pt>
                <c:pt idx="4">
                  <c:v>1.2197501906653993E-2</c:v>
                </c:pt>
                <c:pt idx="5">
                  <c:v>1.6353345325845387E-2</c:v>
                </c:pt>
                <c:pt idx="6">
                  <c:v>1.289433313588809E-2</c:v>
                </c:pt>
                <c:pt idx="8">
                  <c:v>6.5004185286972813E-3</c:v>
                </c:pt>
                <c:pt idx="9">
                  <c:v>5.1645627640653242E-3</c:v>
                </c:pt>
              </c:numCache>
            </c:numRef>
          </c:val>
          <c:extLst>
            <c:ext xmlns:c16="http://schemas.microsoft.com/office/drawing/2014/chart" uri="{C3380CC4-5D6E-409C-BE32-E72D297353CC}">
              <c16:uniqueId val="{00000004-5D4A-439B-A8B6-A7FBD2F0E16D}"/>
            </c:ext>
          </c:extLst>
        </c:ser>
        <c:ser>
          <c:idx val="5"/>
          <c:order val="5"/>
          <c:tx>
            <c:strRef>
              <c:f>'WOS nephrops over 250kW'!$C$97</c:f>
              <c:strCache>
                <c:ptCount val="1"/>
                <c:pt idx="0">
                  <c:v>Cod</c:v>
                </c:pt>
              </c:strCache>
            </c:strRef>
          </c:tx>
          <c:spPr>
            <a:solidFill>
              <a:srgbClr val="0F9AA9"/>
            </a:solidFill>
            <a:ln>
              <a:solidFill>
                <a:srgbClr val="FFFFFF"/>
              </a:solidFill>
            </a:ln>
          </c:spPr>
          <c:invertIfNegative val="0"/>
          <c:cat>
            <c:numRef>
              <c:f>'WOS nephrops over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over 250kW'!$D$97:$M$97</c:f>
              <c:numCache>
                <c:formatCode>0%</c:formatCode>
                <c:ptCount val="10"/>
                <c:pt idx="4">
                  <c:v>3.571773980461687E-3</c:v>
                </c:pt>
                <c:pt idx="7">
                  <c:v>1.2047255179036409E-2</c:v>
                </c:pt>
              </c:numCache>
            </c:numRef>
          </c:val>
          <c:extLst>
            <c:ext xmlns:c16="http://schemas.microsoft.com/office/drawing/2014/chart" uri="{C3380CC4-5D6E-409C-BE32-E72D297353CC}">
              <c16:uniqueId val="{00000005-5D4A-439B-A8B6-A7FBD2F0E16D}"/>
            </c:ext>
          </c:extLst>
        </c:ser>
        <c:ser>
          <c:idx val="6"/>
          <c:order val="6"/>
          <c:tx>
            <c:strRef>
              <c:f>'WOS nephrops over 250kW'!$C$98</c:f>
              <c:strCache>
                <c:ptCount val="1"/>
                <c:pt idx="0">
                  <c:v>Scallops</c:v>
                </c:pt>
              </c:strCache>
            </c:strRef>
          </c:tx>
          <c:spPr>
            <a:solidFill>
              <a:srgbClr val="FED825"/>
            </a:solidFill>
            <a:ln>
              <a:solidFill>
                <a:srgbClr val="FFFFFF"/>
              </a:solidFill>
            </a:ln>
          </c:spPr>
          <c:invertIfNegative val="0"/>
          <c:cat>
            <c:numRef>
              <c:f>'WOS nephrops over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over 250kW'!$D$98:$M$98</c:f>
              <c:numCache>
                <c:formatCode>0%</c:formatCode>
                <c:ptCount val="10"/>
                <c:pt idx="3">
                  <c:v>3.7888634672335413E-3</c:v>
                </c:pt>
                <c:pt idx="6">
                  <c:v>5.1791535014406075E-3</c:v>
                </c:pt>
              </c:numCache>
            </c:numRef>
          </c:val>
          <c:extLst>
            <c:ext xmlns:c16="http://schemas.microsoft.com/office/drawing/2014/chart" uri="{C3380CC4-5D6E-409C-BE32-E72D297353CC}">
              <c16:uniqueId val="{00000006-5D4A-439B-A8B6-A7FBD2F0E16D}"/>
            </c:ext>
          </c:extLst>
        </c:ser>
        <c:ser>
          <c:idx val="7"/>
          <c:order val="7"/>
          <c:tx>
            <c:strRef>
              <c:f>'WOS nephrops over 250kW'!$C$99</c:f>
              <c:strCache>
                <c:ptCount val="1"/>
                <c:pt idx="0">
                  <c:v>Whiting</c:v>
                </c:pt>
              </c:strCache>
            </c:strRef>
          </c:tx>
          <c:spPr>
            <a:solidFill>
              <a:srgbClr val="707271"/>
            </a:solidFill>
            <a:ln>
              <a:solidFill>
                <a:srgbClr val="FFFFFF"/>
              </a:solidFill>
            </a:ln>
          </c:spPr>
          <c:invertIfNegative val="0"/>
          <c:cat>
            <c:numRef>
              <c:f>'WOS nephrops over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over 250kW'!$D$99:$M$99</c:f>
              <c:numCache>
                <c:formatCode>0%</c:formatCode>
                <c:ptCount val="10"/>
                <c:pt idx="1">
                  <c:v>2.9408840139693838E-3</c:v>
                </c:pt>
              </c:numCache>
            </c:numRef>
          </c:val>
          <c:extLst>
            <c:ext xmlns:c16="http://schemas.microsoft.com/office/drawing/2014/chart" uri="{C3380CC4-5D6E-409C-BE32-E72D297353CC}">
              <c16:uniqueId val="{00000007-5D4A-439B-A8B6-A7FBD2F0E16D}"/>
            </c:ext>
          </c:extLst>
        </c:ser>
        <c:ser>
          <c:idx val="8"/>
          <c:order val="8"/>
          <c:tx>
            <c:strRef>
              <c:f>'WOS nephrops over 250kW'!$C$100</c:f>
              <c:strCache>
                <c:ptCount val="1"/>
                <c:pt idx="0">
                  <c:v>Herring</c:v>
                </c:pt>
              </c:strCache>
            </c:strRef>
          </c:tx>
          <c:spPr>
            <a:solidFill>
              <a:srgbClr val="51AA81"/>
            </a:solidFill>
            <a:ln>
              <a:solidFill>
                <a:srgbClr val="FFFFFF"/>
              </a:solidFill>
            </a:ln>
          </c:spPr>
          <c:invertIfNegative val="0"/>
          <c:cat>
            <c:numRef>
              <c:f>'WOS nephrops over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over 250kW'!$D$100:$M$100</c:f>
              <c:numCache>
                <c:formatCode>0%</c:formatCode>
                <c:ptCount val="10"/>
                <c:pt idx="0">
                  <c:v>9.4313805855933755E-3</c:v>
                </c:pt>
              </c:numCache>
            </c:numRef>
          </c:val>
          <c:extLst>
            <c:ext xmlns:c16="http://schemas.microsoft.com/office/drawing/2014/chart" uri="{C3380CC4-5D6E-409C-BE32-E72D297353CC}">
              <c16:uniqueId val="{00000008-5D4A-439B-A8B6-A7FBD2F0E16D}"/>
            </c:ext>
          </c:extLst>
        </c:ser>
        <c:ser>
          <c:idx val="9"/>
          <c:order val="9"/>
          <c:tx>
            <c:strRef>
              <c:f>'WOS nephrops over 250kW'!$C$101</c:f>
              <c:strCache>
                <c:ptCount val="1"/>
                <c:pt idx="0">
                  <c:v>Others</c:v>
                </c:pt>
              </c:strCache>
            </c:strRef>
          </c:tx>
          <c:spPr>
            <a:solidFill>
              <a:srgbClr val="55585A"/>
            </a:solidFill>
            <a:ln>
              <a:solidFill>
                <a:srgbClr val="FFFFFF"/>
              </a:solidFill>
            </a:ln>
          </c:spPr>
          <c:invertIfNegative val="0"/>
          <c:cat>
            <c:numRef>
              <c:f>'WOS nephrops over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over 250kW'!$D$101:$M$101</c:f>
              <c:numCache>
                <c:formatCode>0%</c:formatCode>
                <c:ptCount val="10"/>
                <c:pt idx="0">
                  <c:v>1.8964440046523447E-2</c:v>
                </c:pt>
                <c:pt idx="1">
                  <c:v>2.0482563206976979E-2</c:v>
                </c:pt>
                <c:pt idx="2">
                  <c:v>2.1272600651673659E-2</c:v>
                </c:pt>
                <c:pt idx="3">
                  <c:v>1.9768099790353707E-2</c:v>
                </c:pt>
                <c:pt idx="4">
                  <c:v>2.40636339470355E-2</c:v>
                </c:pt>
                <c:pt idx="5">
                  <c:v>3.4352677081951215E-2</c:v>
                </c:pt>
                <c:pt idx="6">
                  <c:v>1.9297741498413921E-2</c:v>
                </c:pt>
                <c:pt idx="7">
                  <c:v>5.6488206741719831E-2</c:v>
                </c:pt>
                <c:pt idx="8">
                  <c:v>1.3766897422859227E-2</c:v>
                </c:pt>
                <c:pt idx="9">
                  <c:v>8.9529351850901068E-3</c:v>
                </c:pt>
              </c:numCache>
            </c:numRef>
          </c:val>
          <c:extLst>
            <c:ext xmlns:c16="http://schemas.microsoft.com/office/drawing/2014/chart" uri="{C3380CC4-5D6E-409C-BE32-E72D297353CC}">
              <c16:uniqueId val="{00000009-5D4A-439B-A8B6-A7FBD2F0E16D}"/>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'WOS nephrops over 250kW'!$B$162</c:f>
              <c:strCache>
                <c:ptCount val="1"/>
                <c:pt idx="0">
                  <c:v>Nephrops</c:v>
                </c:pt>
              </c:strCache>
            </c:strRef>
          </c:tx>
          <c:spPr>
            <a:solidFill>
              <a:srgbClr val="2273B9"/>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250kW'!$C$162:$E$162</c:f>
              <c:numCache>
                <c:formatCode>0%</c:formatCode>
                <c:ptCount val="3"/>
                <c:pt idx="0">
                  <c:v>0.38601304382615936</c:v>
                </c:pt>
                <c:pt idx="1">
                  <c:v>0.69214990799025944</c:v>
                </c:pt>
                <c:pt idx="2">
                  <c:v>0.97997864924579359</c:v>
                </c:pt>
              </c:numCache>
            </c:numRef>
          </c:val>
          <c:extLst>
            <c:ext xmlns:c16="http://schemas.microsoft.com/office/drawing/2014/chart" uri="{C3380CC4-5D6E-409C-BE32-E72D297353CC}">
              <c16:uniqueId val="{00000000-A0F7-4219-8981-53648CB1E349}"/>
            </c:ext>
          </c:extLst>
        </c:ser>
        <c:ser>
          <c:idx val="1"/>
          <c:order val="1"/>
          <c:tx>
            <c:strRef>
              <c:f>'WOS nephrops over 250kW'!$B$163</c:f>
              <c:strCache>
                <c:ptCount val="1"/>
                <c:pt idx="0">
                  <c:v>Sprats</c:v>
                </c:pt>
              </c:strCache>
            </c:strRef>
          </c:tx>
          <c:spPr>
            <a:solidFill>
              <a:srgbClr val="648C2E"/>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250kW'!$C$163:$E$163</c:f>
              <c:numCache>
                <c:formatCode>0%</c:formatCode>
                <c:ptCount val="3"/>
                <c:pt idx="0">
                  <c:v>0</c:v>
                </c:pt>
                <c:pt idx="1">
                  <c:v>0.2272127966273442</c:v>
                </c:pt>
                <c:pt idx="2">
                  <c:v>0</c:v>
                </c:pt>
              </c:numCache>
            </c:numRef>
          </c:val>
          <c:extLst>
            <c:ext xmlns:c16="http://schemas.microsoft.com/office/drawing/2014/chart" uri="{C3380CC4-5D6E-409C-BE32-E72D297353CC}">
              <c16:uniqueId val="{00000001-A0F7-4219-8981-53648CB1E349}"/>
            </c:ext>
          </c:extLst>
        </c:ser>
        <c:ser>
          <c:idx val="2"/>
          <c:order val="2"/>
          <c:tx>
            <c:strRef>
              <c:f>'WOS nephrops over 250kW'!$B$164</c:f>
              <c:strCache>
                <c:ptCount val="1"/>
                <c:pt idx="0">
                  <c:v>Anglerfish</c:v>
                </c:pt>
              </c:strCache>
            </c:strRef>
          </c:tx>
          <c:spPr>
            <a:solidFill>
              <a:srgbClr val="C1D119"/>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250kW'!$C$164:$E$164</c:f>
              <c:numCache>
                <c:formatCode>0%</c:formatCode>
                <c:ptCount val="3"/>
                <c:pt idx="0">
                  <c:v>2.3904447631916083E-3</c:v>
                </c:pt>
                <c:pt idx="1">
                  <c:v>2.2450026771803733E-2</c:v>
                </c:pt>
                <c:pt idx="2">
                  <c:v>5.9468911584790261E-3</c:v>
                </c:pt>
              </c:numCache>
            </c:numRef>
          </c:val>
          <c:extLst>
            <c:ext xmlns:c16="http://schemas.microsoft.com/office/drawing/2014/chart" uri="{C3380CC4-5D6E-409C-BE32-E72D297353CC}">
              <c16:uniqueId val="{00000002-A0F7-4219-8981-53648CB1E349}"/>
            </c:ext>
          </c:extLst>
        </c:ser>
        <c:ser>
          <c:idx val="3"/>
          <c:order val="3"/>
          <c:tx>
            <c:strRef>
              <c:f>'WOS nephrops over 250kW'!$B$165</c:f>
              <c:strCache>
                <c:ptCount val="1"/>
                <c:pt idx="0">
                  <c:v>Haddock</c:v>
                </c:pt>
              </c:strCache>
            </c:strRef>
          </c:tx>
          <c:spPr>
            <a:solidFill>
              <a:srgbClr val="E84A38"/>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250kW'!$C$165:$E$165</c:f>
              <c:numCache>
                <c:formatCode>0%</c:formatCode>
                <c:ptCount val="3"/>
                <c:pt idx="0">
                  <c:v>1.8295478246773704E-3</c:v>
                </c:pt>
                <c:pt idx="1">
                  <c:v>2.0090386811371055E-2</c:v>
                </c:pt>
                <c:pt idx="2">
                  <c:v>3.1840661370870914E-3</c:v>
                </c:pt>
              </c:numCache>
            </c:numRef>
          </c:val>
          <c:extLst>
            <c:ext xmlns:c16="http://schemas.microsoft.com/office/drawing/2014/chart" uri="{C3380CC4-5D6E-409C-BE32-E72D297353CC}">
              <c16:uniqueId val="{00000003-A0F7-4219-8981-53648CB1E349}"/>
            </c:ext>
          </c:extLst>
        </c:ser>
        <c:ser>
          <c:idx val="4"/>
          <c:order val="4"/>
          <c:tx>
            <c:strRef>
              <c:f>'WOS nephrops over 250kW'!$B$166</c:f>
              <c:strCache>
                <c:ptCount val="1"/>
                <c:pt idx="0">
                  <c:v>Squid</c:v>
                </c:pt>
              </c:strCache>
            </c:strRef>
          </c:tx>
          <c:spPr>
            <a:solidFill>
              <a:srgbClr val="E87308"/>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250kW'!$C$166:$E$166</c:f>
              <c:numCache>
                <c:formatCode>0%</c:formatCode>
                <c:ptCount val="3"/>
                <c:pt idx="0">
                  <c:v>0</c:v>
                </c:pt>
                <c:pt idx="1">
                  <c:v>1.5961829028054753E-2</c:v>
                </c:pt>
                <c:pt idx="2">
                  <c:v>0</c:v>
                </c:pt>
              </c:numCache>
            </c:numRef>
          </c:val>
          <c:extLst>
            <c:ext xmlns:c16="http://schemas.microsoft.com/office/drawing/2014/chart" uri="{C3380CC4-5D6E-409C-BE32-E72D297353CC}">
              <c16:uniqueId val="{00000004-A0F7-4219-8981-53648CB1E349}"/>
            </c:ext>
          </c:extLst>
        </c:ser>
        <c:ser>
          <c:idx val="5"/>
          <c:order val="5"/>
          <c:tx>
            <c:strRef>
              <c:f>'WOS nephrops over 250kW'!$B$167</c:f>
              <c:strCache>
                <c:ptCount val="1"/>
                <c:pt idx="0">
                  <c:v>Thornback Ray</c:v>
                </c:pt>
              </c:strCache>
            </c:strRef>
          </c:tx>
          <c:spPr>
            <a:solidFill>
              <a:srgbClr val="0F9AA9"/>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250kW'!$C$167:$E$167</c:f>
              <c:numCache>
                <c:formatCode>0%</c:formatCode>
                <c:ptCount val="3"/>
                <c:pt idx="0">
                  <c:v>0</c:v>
                </c:pt>
                <c:pt idx="1">
                  <c:v>0</c:v>
                </c:pt>
                <c:pt idx="2">
                  <c:v>5.1832100278278777E-3</c:v>
                </c:pt>
              </c:numCache>
            </c:numRef>
          </c:val>
          <c:extLst>
            <c:ext xmlns:c16="http://schemas.microsoft.com/office/drawing/2014/chart" uri="{C3380CC4-5D6E-409C-BE32-E72D297353CC}">
              <c16:uniqueId val="{00000005-A0F7-4219-8981-53648CB1E349}"/>
            </c:ext>
          </c:extLst>
        </c:ser>
        <c:ser>
          <c:idx val="6"/>
          <c:order val="6"/>
          <c:tx>
            <c:strRef>
              <c:f>'WOS nephrops over 250kW'!$B$168</c:f>
              <c:strCache>
                <c:ptCount val="1"/>
                <c:pt idx="0">
                  <c:v>Scallops</c:v>
                </c:pt>
              </c:strCache>
            </c:strRef>
          </c:tx>
          <c:spPr>
            <a:solidFill>
              <a:srgbClr val="FED825"/>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250kW'!$C$168:$E$168</c:f>
              <c:numCache>
                <c:formatCode>0%</c:formatCode>
                <c:ptCount val="3"/>
                <c:pt idx="0">
                  <c:v>0</c:v>
                </c:pt>
                <c:pt idx="1">
                  <c:v>0</c:v>
                </c:pt>
                <c:pt idx="2">
                  <c:v>2.0938303825186735E-3</c:v>
                </c:pt>
              </c:numCache>
            </c:numRef>
          </c:val>
          <c:extLst>
            <c:ext xmlns:c16="http://schemas.microsoft.com/office/drawing/2014/chart" uri="{C3380CC4-5D6E-409C-BE32-E72D297353CC}">
              <c16:uniqueId val="{00000006-A0F7-4219-8981-53648CB1E349}"/>
            </c:ext>
          </c:extLst>
        </c:ser>
        <c:ser>
          <c:idx val="7"/>
          <c:order val="7"/>
          <c:tx>
            <c:strRef>
              <c:f>'WOS nephrops over 250kW'!$B$169</c:f>
              <c:strCache>
                <c:ptCount val="1"/>
                <c:pt idx="0">
                  <c:v>Les. Spot. Dog</c:v>
                </c:pt>
              </c:strCache>
            </c:strRef>
          </c:tx>
          <c:spPr>
            <a:solidFill>
              <a:srgbClr val="707271"/>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250kW'!$C$169:$E$169</c:f>
              <c:numCache>
                <c:formatCode>0%</c:formatCode>
                <c:ptCount val="3"/>
                <c:pt idx="0">
                  <c:v>8.232563131779048E-4</c:v>
                </c:pt>
                <c:pt idx="1">
                  <c:v>0</c:v>
                </c:pt>
                <c:pt idx="2">
                  <c:v>0</c:v>
                </c:pt>
              </c:numCache>
            </c:numRef>
          </c:val>
          <c:extLst>
            <c:ext xmlns:c16="http://schemas.microsoft.com/office/drawing/2014/chart" uri="{C3380CC4-5D6E-409C-BE32-E72D297353CC}">
              <c16:uniqueId val="{00000007-A0F7-4219-8981-53648CB1E349}"/>
            </c:ext>
          </c:extLst>
        </c:ser>
        <c:ser>
          <c:idx val="8"/>
          <c:order val="8"/>
          <c:tx>
            <c:strRef>
              <c:f>'WOS nephrops over 250kW'!$B$170</c:f>
              <c:strCache>
                <c:ptCount val="1"/>
                <c:pt idx="0">
                  <c:v>Cod</c:v>
                </c:pt>
              </c:strCache>
            </c:strRef>
          </c:tx>
          <c:spPr>
            <a:solidFill>
              <a:srgbClr val="51AA81"/>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250kW'!$C$170:$E$170</c:f>
              <c:numCache>
                <c:formatCode>0%</c:formatCode>
                <c:ptCount val="3"/>
                <c:pt idx="0">
                  <c:v>4.4523375405619971E-4</c:v>
                </c:pt>
                <c:pt idx="1">
                  <c:v>0</c:v>
                </c:pt>
                <c:pt idx="2">
                  <c:v>0</c:v>
                </c:pt>
              </c:numCache>
            </c:numRef>
          </c:val>
          <c:extLst>
            <c:ext xmlns:c16="http://schemas.microsoft.com/office/drawing/2014/chart" uri="{C3380CC4-5D6E-409C-BE32-E72D297353CC}">
              <c16:uniqueId val="{00000008-A0F7-4219-8981-53648CB1E349}"/>
            </c:ext>
          </c:extLst>
        </c:ser>
        <c:ser>
          <c:idx val="9"/>
          <c:order val="9"/>
          <c:tx>
            <c:strRef>
              <c:f>'WOS nephrops over 250kW'!$B$171</c:f>
              <c:strCache>
                <c:ptCount val="1"/>
                <c:pt idx="0">
                  <c:v>Others</c:v>
                </c:pt>
              </c:strCache>
            </c:strRef>
          </c:tx>
          <c:spPr>
            <a:solidFill>
              <a:srgbClr val="55585A"/>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250kW'!$C$171:$E$171</c:f>
              <c:numCache>
                <c:formatCode>0%</c:formatCode>
                <c:ptCount val="3"/>
                <c:pt idx="0">
                  <c:v>0.60849847351873754</c:v>
                </c:pt>
                <c:pt idx="1">
                  <c:v>2.2135052771166785E-2</c:v>
                </c:pt>
                <c:pt idx="2">
                  <c:v>3.6133530482937992E-3</c:v>
                </c:pt>
              </c:numCache>
            </c:numRef>
          </c:val>
          <c:extLst>
            <c:ext xmlns:c16="http://schemas.microsoft.com/office/drawing/2014/chart" uri="{C3380CC4-5D6E-409C-BE32-E72D297353CC}">
              <c16:uniqueId val="{00000009-A0F7-4219-8981-53648CB1E349}"/>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'WOS nephrops over 250kW'!$H$162</c:f>
              <c:strCache>
                <c:ptCount val="1"/>
                <c:pt idx="0">
                  <c:v>Nephrops</c:v>
                </c:pt>
              </c:strCache>
            </c:strRef>
          </c:tx>
          <c:spPr>
            <a:solidFill>
              <a:srgbClr val="2273B9"/>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250kW'!$I$162:$K$162</c:f>
              <c:numCache>
                <c:formatCode>0%</c:formatCode>
                <c:ptCount val="3"/>
                <c:pt idx="0">
                  <c:v>0.29856019540027651</c:v>
                </c:pt>
                <c:pt idx="1">
                  <c:v>0.87228026572751094</c:v>
                </c:pt>
                <c:pt idx="2">
                  <c:v>0.81350113178409478</c:v>
                </c:pt>
              </c:numCache>
            </c:numRef>
          </c:val>
          <c:extLst>
            <c:ext xmlns:c16="http://schemas.microsoft.com/office/drawing/2014/chart" uri="{C3380CC4-5D6E-409C-BE32-E72D297353CC}">
              <c16:uniqueId val="{00000000-43B9-4DEA-A89B-8C39DD108848}"/>
            </c:ext>
          </c:extLst>
        </c:ser>
        <c:ser>
          <c:idx val="1"/>
          <c:order val="1"/>
          <c:tx>
            <c:strRef>
              <c:f>'WOS nephrops over 250kW'!$H$163</c:f>
              <c:strCache>
                <c:ptCount val="1"/>
                <c:pt idx="0">
                  <c:v>Squid</c:v>
                </c:pt>
              </c:strCache>
            </c:strRef>
          </c:tx>
          <c:spPr>
            <a:solidFill>
              <a:srgbClr val="E87308"/>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250kW'!$I$163:$K$163</c:f>
              <c:numCache>
                <c:formatCode>0%</c:formatCode>
                <c:ptCount val="3"/>
                <c:pt idx="0">
                  <c:v>0</c:v>
                </c:pt>
                <c:pt idx="1">
                  <c:v>3.8288323437084042E-2</c:v>
                </c:pt>
                <c:pt idx="2">
                  <c:v>0</c:v>
                </c:pt>
              </c:numCache>
            </c:numRef>
          </c:val>
          <c:extLst>
            <c:ext xmlns:c16="http://schemas.microsoft.com/office/drawing/2014/chart" uri="{C3380CC4-5D6E-409C-BE32-E72D297353CC}">
              <c16:uniqueId val="{00000001-43B9-4DEA-A89B-8C39DD108848}"/>
            </c:ext>
          </c:extLst>
        </c:ser>
        <c:ser>
          <c:idx val="2"/>
          <c:order val="2"/>
          <c:tx>
            <c:strRef>
              <c:f>'WOS nephrops over 250kW'!$H$164</c:f>
              <c:strCache>
                <c:ptCount val="1"/>
                <c:pt idx="0">
                  <c:v>Sprats</c:v>
                </c:pt>
              </c:strCache>
            </c:strRef>
          </c:tx>
          <c:spPr>
            <a:solidFill>
              <a:srgbClr val="648C2E"/>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250kW'!$I$164:$K$164</c:f>
              <c:numCache>
                <c:formatCode>0%</c:formatCode>
                <c:ptCount val="3"/>
                <c:pt idx="0">
                  <c:v>0</c:v>
                </c:pt>
                <c:pt idx="1">
                  <c:v>3.6399432329874325E-2</c:v>
                </c:pt>
                <c:pt idx="2">
                  <c:v>0</c:v>
                </c:pt>
              </c:numCache>
            </c:numRef>
          </c:val>
          <c:extLst>
            <c:ext xmlns:c16="http://schemas.microsoft.com/office/drawing/2014/chart" uri="{C3380CC4-5D6E-409C-BE32-E72D297353CC}">
              <c16:uniqueId val="{00000002-43B9-4DEA-A89B-8C39DD108848}"/>
            </c:ext>
          </c:extLst>
        </c:ser>
        <c:ser>
          <c:idx val="3"/>
          <c:order val="3"/>
          <c:tx>
            <c:strRef>
              <c:f>'WOS nephrops over 250kW'!$H$165</c:f>
              <c:strCache>
                <c:ptCount val="1"/>
                <c:pt idx="0">
                  <c:v>Anglerfish</c:v>
                </c:pt>
              </c:strCache>
            </c:strRef>
          </c:tx>
          <c:spPr>
            <a:solidFill>
              <a:srgbClr val="C1D119"/>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250kW'!$I$165:$K$165</c:f>
              <c:numCache>
                <c:formatCode>0%</c:formatCode>
                <c:ptCount val="3"/>
                <c:pt idx="0">
                  <c:v>2.002320273693123E-3</c:v>
                </c:pt>
                <c:pt idx="1">
                  <c:v>2.6248575533812341E-2</c:v>
                </c:pt>
                <c:pt idx="2">
                  <c:v>4.4659688724410828E-3</c:v>
                </c:pt>
              </c:numCache>
            </c:numRef>
          </c:val>
          <c:extLst>
            <c:ext xmlns:c16="http://schemas.microsoft.com/office/drawing/2014/chart" uri="{C3380CC4-5D6E-409C-BE32-E72D297353CC}">
              <c16:uniqueId val="{00000003-43B9-4DEA-A89B-8C39DD108848}"/>
            </c:ext>
          </c:extLst>
        </c:ser>
        <c:ser>
          <c:idx val="4"/>
          <c:order val="4"/>
          <c:tx>
            <c:strRef>
              <c:f>'WOS nephrops over 250kW'!$H$166</c:f>
              <c:strCache>
                <c:ptCount val="1"/>
                <c:pt idx="0">
                  <c:v>Haddock</c:v>
                </c:pt>
              </c:strCache>
            </c:strRef>
          </c:tx>
          <c:spPr>
            <a:solidFill>
              <a:srgbClr val="E84A38"/>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250kW'!$I$166:$K$166</c:f>
              <c:numCache>
                <c:formatCode>0%</c:formatCode>
                <c:ptCount val="3"/>
                <c:pt idx="0">
                  <c:v>8.4691619772014708E-4</c:v>
                </c:pt>
                <c:pt idx="1">
                  <c:v>1.0214390594652784E-2</c:v>
                </c:pt>
                <c:pt idx="2">
                  <c:v>1.3378469550010934E-3</c:v>
                </c:pt>
              </c:numCache>
            </c:numRef>
          </c:val>
          <c:extLst>
            <c:ext xmlns:c16="http://schemas.microsoft.com/office/drawing/2014/chart" uri="{C3380CC4-5D6E-409C-BE32-E72D297353CC}">
              <c16:uniqueId val="{00000004-43B9-4DEA-A89B-8C39DD108848}"/>
            </c:ext>
          </c:extLst>
        </c:ser>
        <c:ser>
          <c:idx val="5"/>
          <c:order val="5"/>
          <c:tx>
            <c:strRef>
              <c:f>'WOS nephrops over 250kW'!$H$167</c:f>
              <c:strCache>
                <c:ptCount val="1"/>
                <c:pt idx="0">
                  <c:v>Scallops</c:v>
                </c:pt>
              </c:strCache>
            </c:strRef>
          </c:tx>
          <c:spPr>
            <a:solidFill>
              <a:srgbClr val="FED825"/>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250kW'!$I$167:$K$167</c:f>
              <c:numCache>
                <c:formatCode>0%</c:formatCode>
                <c:ptCount val="3"/>
                <c:pt idx="0">
                  <c:v>0</c:v>
                </c:pt>
                <c:pt idx="1">
                  <c:v>0</c:v>
                </c:pt>
                <c:pt idx="2">
                  <c:v>1.7245093756271669E-3</c:v>
                </c:pt>
              </c:numCache>
            </c:numRef>
          </c:val>
          <c:extLst>
            <c:ext xmlns:c16="http://schemas.microsoft.com/office/drawing/2014/chart" uri="{C3380CC4-5D6E-409C-BE32-E72D297353CC}">
              <c16:uniqueId val="{00000005-43B9-4DEA-A89B-8C39DD108848}"/>
            </c:ext>
          </c:extLst>
        </c:ser>
        <c:ser>
          <c:idx val="6"/>
          <c:order val="6"/>
          <c:tx>
            <c:strRef>
              <c:f>'WOS nephrops over 250kW'!$H$168</c:f>
              <c:strCache>
                <c:ptCount val="1"/>
                <c:pt idx="0">
                  <c:v>Thornback Ray</c:v>
                </c:pt>
              </c:strCache>
            </c:strRef>
          </c:tx>
          <c:spPr>
            <a:solidFill>
              <a:srgbClr val="0F9AA9"/>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250kW'!$I$168:$K$168</c:f>
              <c:numCache>
                <c:formatCode>0%</c:formatCode>
                <c:ptCount val="3"/>
                <c:pt idx="0">
                  <c:v>0</c:v>
                </c:pt>
                <c:pt idx="1">
                  <c:v>0</c:v>
                </c:pt>
                <c:pt idx="2">
                  <c:v>1.561651761661194E-3</c:v>
                </c:pt>
              </c:numCache>
            </c:numRef>
          </c:val>
          <c:extLst>
            <c:ext xmlns:c16="http://schemas.microsoft.com/office/drawing/2014/chart" uri="{C3380CC4-5D6E-409C-BE32-E72D297353CC}">
              <c16:uniqueId val="{00000006-43B9-4DEA-A89B-8C39DD108848}"/>
            </c:ext>
          </c:extLst>
        </c:ser>
        <c:ser>
          <c:idx val="7"/>
          <c:order val="7"/>
          <c:tx>
            <c:strRef>
              <c:f>'WOS nephrops over 250kW'!$H$169</c:f>
              <c:strCache>
                <c:ptCount val="1"/>
                <c:pt idx="0">
                  <c:v>Brill</c:v>
                </c:pt>
              </c:strCache>
            </c:strRef>
          </c:tx>
          <c:spPr>
            <a:solidFill>
              <a:srgbClr val="169FDB"/>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250kW'!$I$169:$K$169</c:f>
              <c:numCache>
                <c:formatCode>0%</c:formatCode>
                <c:ptCount val="3"/>
                <c:pt idx="0">
                  <c:v>4.6695003539360758E-4</c:v>
                </c:pt>
                <c:pt idx="1">
                  <c:v>0</c:v>
                </c:pt>
                <c:pt idx="2">
                  <c:v>0</c:v>
                </c:pt>
              </c:numCache>
            </c:numRef>
          </c:val>
          <c:extLst>
            <c:ext xmlns:c16="http://schemas.microsoft.com/office/drawing/2014/chart" uri="{C3380CC4-5D6E-409C-BE32-E72D297353CC}">
              <c16:uniqueId val="{00000007-43B9-4DEA-A89B-8C39DD108848}"/>
            </c:ext>
          </c:extLst>
        </c:ser>
        <c:ser>
          <c:idx val="8"/>
          <c:order val="8"/>
          <c:tx>
            <c:strRef>
              <c:f>'WOS nephrops over 250kW'!$H$170</c:f>
              <c:strCache>
                <c:ptCount val="1"/>
                <c:pt idx="0">
                  <c:v>Sole</c:v>
                </c:pt>
              </c:strCache>
            </c:strRef>
          </c:tx>
          <c:spPr>
            <a:solidFill>
              <a:srgbClr val="E40D2C"/>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250kW'!$I$170:$K$170</c:f>
              <c:numCache>
                <c:formatCode>0%</c:formatCode>
                <c:ptCount val="3"/>
                <c:pt idx="0">
                  <c:v>4.0528644955811224E-4</c:v>
                </c:pt>
                <c:pt idx="1">
                  <c:v>0</c:v>
                </c:pt>
                <c:pt idx="2">
                  <c:v>0</c:v>
                </c:pt>
              </c:numCache>
            </c:numRef>
          </c:val>
          <c:extLst>
            <c:ext xmlns:c16="http://schemas.microsoft.com/office/drawing/2014/chart" uri="{C3380CC4-5D6E-409C-BE32-E72D297353CC}">
              <c16:uniqueId val="{00000008-43B9-4DEA-A89B-8C39DD108848}"/>
            </c:ext>
          </c:extLst>
        </c:ser>
        <c:ser>
          <c:idx val="9"/>
          <c:order val="9"/>
          <c:tx>
            <c:strRef>
              <c:f>'WOS nephrops over 250kW'!$H$171</c:f>
              <c:strCache>
                <c:ptCount val="1"/>
                <c:pt idx="0">
                  <c:v>Others</c:v>
                </c:pt>
              </c:strCache>
            </c:strRef>
          </c:tx>
          <c:spPr>
            <a:solidFill>
              <a:srgbClr val="55585A"/>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250kW'!$I$171:$K$171</c:f>
              <c:numCache>
                <c:formatCode>0%</c:formatCode>
                <c:ptCount val="3"/>
                <c:pt idx="0">
                  <c:v>0.6977183316433585</c:v>
                </c:pt>
                <c:pt idx="1">
                  <c:v>1.6569012377065651E-2</c:v>
                </c:pt>
                <c:pt idx="2">
                  <c:v>0.17740889125117465</c:v>
                </c:pt>
              </c:numCache>
            </c:numRef>
          </c:val>
          <c:extLst>
            <c:ext xmlns:c16="http://schemas.microsoft.com/office/drawing/2014/chart" uri="{C3380CC4-5D6E-409C-BE32-E72D297353CC}">
              <c16:uniqueId val="{00000009-43B9-4DEA-A89B-8C39DD108848}"/>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'WOS nephrops over 250kW'!$K$139</c:f>
              <c:strCache>
                <c:ptCount val="1"/>
                <c:pt idx="0">
                  <c:v>Total income</c:v>
                </c:pt>
              </c:strCache>
            </c:strRef>
          </c:tx>
          <c:spPr>
            <a:solidFill>
              <a:srgbClr val="087CBB"/>
            </a:solidFill>
            <a:ln>
              <a:solidFill>
                <a:schemeClr val="accent1"/>
              </a:solidFill>
            </a:ln>
          </c:spPr>
          <c:invertIfNegative val="0"/>
          <c:cat>
            <c:strRef>
              <c:f>'WOS nephrops over 250kW'!$L$138:$N$138</c:f>
              <c:strCache>
                <c:ptCount val="3"/>
                <c:pt idx="0">
                  <c:v>Most
profitable
quartile</c:v>
                </c:pt>
                <c:pt idx="1">
                  <c:v>Middle
two quartiles</c:v>
                </c:pt>
                <c:pt idx="2">
                  <c:v>Least
profitable
quartile</c:v>
                </c:pt>
              </c:strCache>
            </c:strRef>
          </c:cat>
          <c:val>
            <c:numRef>
              <c:f>'WOS nephrops over 250kW'!$L$139:$N$139</c:f>
              <c:numCache>
                <c:formatCode>#,##0</c:formatCode>
                <c:ptCount val="3"/>
                <c:pt idx="0">
                  <c:v>865.36675000000002</c:v>
                </c:pt>
                <c:pt idx="1">
                  <c:v>310.81066105769202</c:v>
                </c:pt>
                <c:pt idx="2">
                  <c:v>219.59853125000001</c:v>
                </c:pt>
              </c:numCache>
            </c:numRef>
          </c:val>
          <c:extLst>
            <c:ext xmlns:c16="http://schemas.microsoft.com/office/drawing/2014/chart" uri="{C3380CC4-5D6E-409C-BE32-E72D297353CC}">
              <c16:uniqueId val="{00000000-B2E0-4EC5-9F3D-77B27D79EFDF}"/>
            </c:ext>
          </c:extLst>
        </c:ser>
        <c:ser>
          <c:idx val="1"/>
          <c:order val="1"/>
          <c:tx>
            <c:strRef>
              <c:f>'WOS nephrops over 250kW'!$K$140</c:f>
              <c:strCache>
                <c:ptCount val="1"/>
                <c:pt idx="0">
                  <c:v>Operating costs</c:v>
                </c:pt>
              </c:strCache>
            </c:strRef>
          </c:tx>
          <c:spPr>
            <a:solidFill>
              <a:srgbClr val="E87308"/>
            </a:solidFill>
          </c:spPr>
          <c:invertIfNegative val="0"/>
          <c:cat>
            <c:strRef>
              <c:f>'WOS nephrops over 250kW'!$L$138:$N$138</c:f>
              <c:strCache>
                <c:ptCount val="3"/>
                <c:pt idx="0">
                  <c:v>Most
profitable
quartile</c:v>
                </c:pt>
                <c:pt idx="1">
                  <c:v>Middle
two quartiles</c:v>
                </c:pt>
                <c:pt idx="2">
                  <c:v>Least
profitable
quartile</c:v>
                </c:pt>
              </c:strCache>
            </c:strRef>
          </c:cat>
          <c:val>
            <c:numRef>
              <c:f>'WOS nephrops over 250kW'!$L$140:$N$140</c:f>
              <c:numCache>
                <c:formatCode>#,##0</c:formatCode>
                <c:ptCount val="3"/>
                <c:pt idx="0">
                  <c:v>673.20893750000005</c:v>
                </c:pt>
                <c:pt idx="1">
                  <c:v>281.677223557692</c:v>
                </c:pt>
                <c:pt idx="2">
                  <c:v>216.7624375</c:v>
                </c:pt>
              </c:numCache>
            </c:numRef>
          </c:val>
          <c:extLst>
            <c:ext xmlns:c16="http://schemas.microsoft.com/office/drawing/2014/chart" uri="{C3380CC4-5D6E-409C-BE32-E72D297353CC}">
              <c16:uniqueId val="{00000001-B2E0-4EC5-9F3D-77B27D79EFDF}"/>
            </c:ext>
          </c:extLst>
        </c:ser>
        <c:ser>
          <c:idx val="2"/>
          <c:order val="2"/>
          <c:tx>
            <c:strRef>
              <c:f>'WOS nephrops over 250kW'!$K$141</c:f>
              <c:strCache>
                <c:ptCount val="1"/>
                <c:pt idx="0">
                  <c:v>Operating profit</c:v>
                </c:pt>
              </c:strCache>
            </c:strRef>
          </c:tx>
          <c:spPr>
            <a:solidFill>
              <a:srgbClr val="51AA81"/>
            </a:solidFill>
          </c:spPr>
          <c:invertIfNegative val="0"/>
          <c:cat>
            <c:strRef>
              <c:f>'WOS nephrops over 250kW'!$L$138:$N$138</c:f>
              <c:strCache>
                <c:ptCount val="3"/>
                <c:pt idx="0">
                  <c:v>Most
profitable
quartile</c:v>
                </c:pt>
                <c:pt idx="1">
                  <c:v>Middle
two quartiles</c:v>
                </c:pt>
                <c:pt idx="2">
                  <c:v>Least
profitable
quartile</c:v>
                </c:pt>
              </c:strCache>
            </c:strRef>
          </c:cat>
          <c:val>
            <c:numRef>
              <c:f>'WOS nephrops over 250kW'!$L$141:$N$141</c:f>
              <c:numCache>
                <c:formatCode>#,##0</c:formatCode>
                <c:ptCount val="3"/>
                <c:pt idx="0">
                  <c:v>192.15781250000001</c:v>
                </c:pt>
                <c:pt idx="1">
                  <c:v>29.133437499999999</c:v>
                </c:pt>
                <c:pt idx="2">
                  <c:v>2.8360937499999999</c:v>
                </c:pt>
              </c:numCache>
            </c:numRef>
          </c:val>
          <c:extLst>
            <c:ext xmlns:c16="http://schemas.microsoft.com/office/drawing/2014/chart" uri="{C3380CC4-5D6E-409C-BE32-E72D297353CC}">
              <c16:uniqueId val="{00000002-B2E0-4EC5-9F3D-77B27D79EFDF}"/>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'WOS nephrops over 250kW'!$K$142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250kW'!$A$48</c:f>
          <c:strCache>
            <c:ptCount val="1"/>
            <c:pt idx="0">
              <c:v>Landings per kW day at sea (kg)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EE72-4529-8E72-5C2ED3E34D0F}"/>
              </c:ext>
            </c:extLst>
          </c:dPt>
          <c:dPt>
            <c:idx val="10"/>
            <c:bubble3D val="0"/>
            <c:spPr>
              <a:ln w="57150">
                <a:solidFill>
                  <a:srgbClr val="2273B9"/>
                </a:solidFill>
                <a:prstDash val="sysDot"/>
              </a:ln>
            </c:spPr>
            <c:extLst>
              <c:ext xmlns:c16="http://schemas.microsoft.com/office/drawing/2014/chart" uri="{C3380CC4-5D6E-409C-BE32-E72D297353CC}">
                <c16:uniqueId val="{00000003-EE72-4529-8E72-5C2ED3E34D0F}"/>
              </c:ext>
            </c:extLst>
          </c:dPt>
          <c:cat>
            <c:numRef>
              <c:f>'WOS nephrops under 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'WOS nephrops under 250kW'!$D$21:$N$21</c:f>
              <c:numCache>
                <c:formatCode>#,##0.00</c:formatCode>
                <c:ptCount val="11"/>
                <c:pt idx="0">
                  <c:v>2.3455897512904103</c:v>
                </c:pt>
                <c:pt idx="1">
                  <c:v>2.4334448649644824</c:v>
                </c:pt>
                <c:pt idx="2">
                  <c:v>2.4824047124425221</c:v>
                </c:pt>
                <c:pt idx="3">
                  <c:v>2.3154563733374309</c:v>
                </c:pt>
                <c:pt idx="4">
                  <c:v>2.2142812605066986</c:v>
                </c:pt>
                <c:pt idx="5">
                  <c:v>2.6469764598383465</c:v>
                </c:pt>
                <c:pt idx="6">
                  <c:v>2.6222704447335929</c:v>
                </c:pt>
                <c:pt idx="7">
                  <c:v>2.403754053084084</c:v>
                </c:pt>
                <c:pt idx="8">
                  <c:v>2.5660184109601309</c:v>
                </c:pt>
                <c:pt idx="9">
                  <c:v>2.2694035087478786</c:v>
                </c:pt>
                <c:pt idx="10">
                  <c:v>2.7192853474331815</c:v>
                </c:pt>
              </c:numCache>
            </c:numRef>
          </c:val>
          <c:smooth val="0"/>
          <c:extLst>
            <c:ext xmlns:c16="http://schemas.microsoft.com/office/drawing/2014/chart" uri="{C3380CC4-5D6E-409C-BE32-E72D297353CC}">
              <c16:uniqueId val="{00000004-EE72-4529-8E72-5C2ED3E34D0F}"/>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'Area VIIa nephrops u250kW'!$H$162</c:f>
              <c:strCache>
                <c:ptCount val="1"/>
                <c:pt idx="0">
                  <c:v>Nephrops</c:v>
                </c:pt>
              </c:strCache>
            </c:strRef>
          </c:tx>
          <c:spPr>
            <a:solidFill>
              <a:srgbClr val="2273B9"/>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u250kW'!$I$162:$K$162</c:f>
              <c:numCache>
                <c:formatCode>0%</c:formatCode>
                <c:ptCount val="3"/>
                <c:pt idx="0">
                  <c:v>0.18556525325250581</c:v>
                </c:pt>
                <c:pt idx="1">
                  <c:v>0.91076249012895394</c:v>
                </c:pt>
                <c:pt idx="2">
                  <c:v>0.72793107687632996</c:v>
                </c:pt>
              </c:numCache>
            </c:numRef>
          </c:val>
          <c:extLst>
            <c:ext xmlns:c16="http://schemas.microsoft.com/office/drawing/2014/chart" uri="{C3380CC4-5D6E-409C-BE32-E72D297353CC}">
              <c16:uniqueId val="{00000000-B2F1-4D6C-902D-35959D46B007}"/>
            </c:ext>
          </c:extLst>
        </c:ser>
        <c:ser>
          <c:idx val="1"/>
          <c:order val="1"/>
          <c:tx>
            <c:strRef>
              <c:f>'Area VIIa nephrops u250kW'!$H$163</c:f>
              <c:strCache>
                <c:ptCount val="1"/>
                <c:pt idx="0">
                  <c:v>Scallops</c:v>
                </c:pt>
              </c:strCache>
            </c:strRef>
          </c:tx>
          <c:spPr>
            <a:solidFill>
              <a:srgbClr val="E87308"/>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u250kW'!$I$163:$K$163</c:f>
              <c:numCache>
                <c:formatCode>0%</c:formatCode>
                <c:ptCount val="3"/>
                <c:pt idx="0">
                  <c:v>1.0931599265837181E-2</c:v>
                </c:pt>
                <c:pt idx="1">
                  <c:v>4.2760566644836712E-2</c:v>
                </c:pt>
                <c:pt idx="2">
                  <c:v>0.1426456205390029</c:v>
                </c:pt>
              </c:numCache>
            </c:numRef>
          </c:val>
          <c:extLst>
            <c:ext xmlns:c16="http://schemas.microsoft.com/office/drawing/2014/chart" uri="{C3380CC4-5D6E-409C-BE32-E72D297353CC}">
              <c16:uniqueId val="{00000001-B2F1-4D6C-902D-35959D46B007}"/>
            </c:ext>
          </c:extLst>
        </c:ser>
        <c:ser>
          <c:idx val="2"/>
          <c:order val="2"/>
          <c:tx>
            <c:strRef>
              <c:f>'Area VIIa nephrops u250kW'!$H$164</c:f>
              <c:strCache>
                <c:ptCount val="1"/>
                <c:pt idx="0">
                  <c:v>Anglerfish</c:v>
                </c:pt>
              </c:strCache>
            </c:strRef>
          </c:tx>
          <c:spPr>
            <a:solidFill>
              <a:srgbClr val="648C2E"/>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u250kW'!$I$164:$K$164</c:f>
              <c:numCache>
                <c:formatCode>0%</c:formatCode>
                <c:ptCount val="3"/>
                <c:pt idx="0">
                  <c:v>2.9552569340643283E-3</c:v>
                </c:pt>
                <c:pt idx="1">
                  <c:v>1.2994070532997243E-2</c:v>
                </c:pt>
                <c:pt idx="2">
                  <c:v>1.3998603915932101E-2</c:v>
                </c:pt>
              </c:numCache>
            </c:numRef>
          </c:val>
          <c:extLst>
            <c:ext xmlns:c16="http://schemas.microsoft.com/office/drawing/2014/chart" uri="{C3380CC4-5D6E-409C-BE32-E72D297353CC}">
              <c16:uniqueId val="{00000002-B2F1-4D6C-902D-35959D46B007}"/>
            </c:ext>
          </c:extLst>
        </c:ser>
        <c:ser>
          <c:idx val="3"/>
          <c:order val="3"/>
          <c:tx>
            <c:strRef>
              <c:f>'Area VIIa nephrops u250kW'!$H$165</c:f>
              <c:strCache>
                <c:ptCount val="1"/>
                <c:pt idx="0">
                  <c:v>Brill</c:v>
                </c:pt>
              </c:strCache>
            </c:strRef>
          </c:tx>
          <c:spPr>
            <a:solidFill>
              <a:srgbClr val="707271"/>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u250kW'!$I$165:$K$165</c:f>
              <c:numCache>
                <c:formatCode>0%</c:formatCode>
                <c:ptCount val="3"/>
                <c:pt idx="0">
                  <c:v>0</c:v>
                </c:pt>
                <c:pt idx="1">
                  <c:v>6.2343507562100898E-3</c:v>
                </c:pt>
                <c:pt idx="2">
                  <c:v>0</c:v>
                </c:pt>
              </c:numCache>
            </c:numRef>
          </c:val>
          <c:extLst>
            <c:ext xmlns:c16="http://schemas.microsoft.com/office/drawing/2014/chart" uri="{C3380CC4-5D6E-409C-BE32-E72D297353CC}">
              <c16:uniqueId val="{00000003-B2F1-4D6C-902D-35959D46B007}"/>
            </c:ext>
          </c:extLst>
        </c:ser>
        <c:ser>
          <c:idx val="4"/>
          <c:order val="4"/>
          <c:tx>
            <c:strRef>
              <c:f>'Area VIIa nephrops u250kW'!$H$166</c:f>
              <c:strCache>
                <c:ptCount val="1"/>
                <c:pt idx="0">
                  <c:v>Haddock</c:v>
                </c:pt>
              </c:strCache>
            </c:strRef>
          </c:tx>
          <c:spPr>
            <a:solidFill>
              <a:srgbClr val="51AA81"/>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u250kW'!$I$166:$K$166</c:f>
              <c:numCache>
                <c:formatCode>0%</c:formatCode>
                <c:ptCount val="3"/>
                <c:pt idx="0">
                  <c:v>0</c:v>
                </c:pt>
                <c:pt idx="1">
                  <c:v>5.8364025042050363E-3</c:v>
                </c:pt>
                <c:pt idx="2">
                  <c:v>0</c:v>
                </c:pt>
              </c:numCache>
            </c:numRef>
          </c:val>
          <c:extLst>
            <c:ext xmlns:c16="http://schemas.microsoft.com/office/drawing/2014/chart" uri="{C3380CC4-5D6E-409C-BE32-E72D297353CC}">
              <c16:uniqueId val="{00000004-B2F1-4D6C-902D-35959D46B007}"/>
            </c:ext>
          </c:extLst>
        </c:ser>
        <c:ser>
          <c:idx val="5"/>
          <c:order val="5"/>
          <c:tx>
            <c:strRef>
              <c:f>'Area VIIa nephrops u250kW'!$H$167</c:f>
              <c:strCache>
                <c:ptCount val="1"/>
                <c:pt idx="0">
                  <c:v>Brown Crab</c:v>
                </c:pt>
              </c:strCache>
            </c:strRef>
          </c:tx>
          <c:spPr>
            <a:solidFill>
              <a:srgbClr val="C1D119"/>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u250kW'!$I$167:$K$167</c:f>
              <c:numCache>
                <c:formatCode>0%</c:formatCode>
                <c:ptCount val="3"/>
                <c:pt idx="0">
                  <c:v>0</c:v>
                </c:pt>
                <c:pt idx="1">
                  <c:v>0</c:v>
                </c:pt>
                <c:pt idx="2">
                  <c:v>1.7203657917673271E-2</c:v>
                </c:pt>
              </c:numCache>
            </c:numRef>
          </c:val>
          <c:extLst>
            <c:ext xmlns:c16="http://schemas.microsoft.com/office/drawing/2014/chart" uri="{C3380CC4-5D6E-409C-BE32-E72D297353CC}">
              <c16:uniqueId val="{00000005-B2F1-4D6C-902D-35959D46B007}"/>
            </c:ext>
          </c:extLst>
        </c:ser>
        <c:ser>
          <c:idx val="6"/>
          <c:order val="6"/>
          <c:tx>
            <c:strRef>
              <c:f>'Area VIIa nephrops u250kW'!$H$168</c:f>
              <c:strCache>
                <c:ptCount val="1"/>
                <c:pt idx="0">
                  <c:v>Queen Scallops</c:v>
                </c:pt>
              </c:strCache>
            </c:strRef>
          </c:tx>
          <c:spPr>
            <a:solidFill>
              <a:srgbClr val="169FDB"/>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u250kW'!$I$168:$K$168</c:f>
              <c:numCache>
                <c:formatCode>0%</c:formatCode>
                <c:ptCount val="3"/>
                <c:pt idx="0">
                  <c:v>0</c:v>
                </c:pt>
                <c:pt idx="1">
                  <c:v>0</c:v>
                </c:pt>
                <c:pt idx="2">
                  <c:v>1.0812010639674876E-2</c:v>
                </c:pt>
              </c:numCache>
            </c:numRef>
          </c:val>
          <c:extLst>
            <c:ext xmlns:c16="http://schemas.microsoft.com/office/drawing/2014/chart" uri="{C3380CC4-5D6E-409C-BE32-E72D297353CC}">
              <c16:uniqueId val="{00000006-B2F1-4D6C-902D-35959D46B007}"/>
            </c:ext>
          </c:extLst>
        </c:ser>
        <c:ser>
          <c:idx val="7"/>
          <c:order val="7"/>
          <c:tx>
            <c:strRef>
              <c:f>'Area VIIa nephrops u250kW'!$H$169</c:f>
              <c:strCache>
                <c:ptCount val="1"/>
                <c:pt idx="0">
                  <c:v>Sole</c:v>
                </c:pt>
              </c:strCache>
            </c:strRef>
          </c:tx>
          <c:spPr>
            <a:solidFill>
              <a:srgbClr val="E40D2C"/>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u250kW'!$I$169:$K$169</c:f>
              <c:numCache>
                <c:formatCode>0%</c:formatCode>
                <c:ptCount val="3"/>
                <c:pt idx="0">
                  <c:v>1.8884915224019751E-3</c:v>
                </c:pt>
                <c:pt idx="1">
                  <c:v>0</c:v>
                </c:pt>
                <c:pt idx="2">
                  <c:v>0</c:v>
                </c:pt>
              </c:numCache>
            </c:numRef>
          </c:val>
          <c:extLst>
            <c:ext xmlns:c16="http://schemas.microsoft.com/office/drawing/2014/chart" uri="{C3380CC4-5D6E-409C-BE32-E72D297353CC}">
              <c16:uniqueId val="{00000007-B2F1-4D6C-902D-35959D46B007}"/>
            </c:ext>
          </c:extLst>
        </c:ser>
        <c:ser>
          <c:idx val="8"/>
          <c:order val="8"/>
          <c:tx>
            <c:strRef>
              <c:f>'Area VIIa nephrops u250kW'!$H$170</c:f>
              <c:strCache>
                <c:ptCount val="1"/>
                <c:pt idx="0">
                  <c:v>Thornback Ray</c:v>
                </c:pt>
              </c:strCache>
            </c:strRef>
          </c:tx>
          <c:spPr>
            <a:solidFill>
              <a:srgbClr val="0F9AA9"/>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u250kW'!$I$170:$K$170</c:f>
              <c:numCache>
                <c:formatCode>0%</c:formatCode>
                <c:ptCount val="3"/>
                <c:pt idx="0">
                  <c:v>1.4964716647096789E-3</c:v>
                </c:pt>
                <c:pt idx="1">
                  <c:v>0</c:v>
                </c:pt>
                <c:pt idx="2">
                  <c:v>0</c:v>
                </c:pt>
              </c:numCache>
            </c:numRef>
          </c:val>
          <c:extLst>
            <c:ext xmlns:c16="http://schemas.microsoft.com/office/drawing/2014/chart" uri="{C3380CC4-5D6E-409C-BE32-E72D297353CC}">
              <c16:uniqueId val="{00000008-B2F1-4D6C-902D-35959D46B007}"/>
            </c:ext>
          </c:extLst>
        </c:ser>
        <c:ser>
          <c:idx val="9"/>
          <c:order val="9"/>
          <c:tx>
            <c:strRef>
              <c:f>'Area VIIa nephrops u250kW'!$H$171</c:f>
              <c:strCache>
                <c:ptCount val="1"/>
                <c:pt idx="0">
                  <c:v>Others</c:v>
                </c:pt>
              </c:strCache>
            </c:strRef>
          </c:tx>
          <c:spPr>
            <a:solidFill>
              <a:srgbClr val="55585A"/>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u250kW'!$I$171:$K$171</c:f>
              <c:numCache>
                <c:formatCode>0%</c:formatCode>
                <c:ptCount val="3"/>
                <c:pt idx="0">
                  <c:v>0.797162927360481</c:v>
                </c:pt>
                <c:pt idx="1">
                  <c:v>2.1412119432796972E-2</c:v>
                </c:pt>
                <c:pt idx="2">
                  <c:v>8.7409030111386898E-2</c:v>
                </c:pt>
              </c:numCache>
            </c:numRef>
          </c:val>
          <c:extLst>
            <c:ext xmlns:c16="http://schemas.microsoft.com/office/drawing/2014/chart" uri="{C3380CC4-5D6E-409C-BE32-E72D297353CC}">
              <c16:uniqueId val="{00000009-B2F1-4D6C-902D-35959D46B007}"/>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250kW'!$A$49</c:f>
          <c:strCache>
            <c:ptCount val="1"/>
            <c:pt idx="0">
              <c:v>Fishing income per kW day at sea (£)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0324-4758-A3F6-9C3A0AB97B92}"/>
              </c:ext>
            </c:extLst>
          </c:dPt>
          <c:dPt>
            <c:idx val="10"/>
            <c:bubble3D val="0"/>
            <c:spPr>
              <a:ln w="57150">
                <a:solidFill>
                  <a:srgbClr val="648C2E"/>
                </a:solidFill>
                <a:prstDash val="sysDot"/>
              </a:ln>
            </c:spPr>
            <c:extLst>
              <c:ext xmlns:c16="http://schemas.microsoft.com/office/drawing/2014/chart" uri="{C3380CC4-5D6E-409C-BE32-E72D297353CC}">
                <c16:uniqueId val="{00000003-0324-4758-A3F6-9C3A0AB97B92}"/>
              </c:ext>
            </c:extLst>
          </c:dPt>
          <c:cat>
            <c:numRef>
              <c:f>'WOS nephrops under 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'WOS nephrops under 250kW'!$D$22:$N$22</c:f>
              <c:numCache>
                <c:formatCode>#,##0.00</c:formatCode>
                <c:ptCount val="11"/>
                <c:pt idx="0">
                  <c:v>7.3023953738917999</c:v>
                </c:pt>
                <c:pt idx="1">
                  <c:v>7.9835725557020201</c:v>
                </c:pt>
                <c:pt idx="2">
                  <c:v>7.2381494237060497</c:v>
                </c:pt>
                <c:pt idx="3">
                  <c:v>7.10825122456062</c:v>
                </c:pt>
                <c:pt idx="4">
                  <c:v>6.8775834244060103</c:v>
                </c:pt>
                <c:pt idx="5">
                  <c:v>7.5972818134327698</c:v>
                </c:pt>
                <c:pt idx="6">
                  <c:v>7.53890442794272</c:v>
                </c:pt>
                <c:pt idx="7">
                  <c:v>7.2833047334639902</c:v>
                </c:pt>
                <c:pt idx="8">
                  <c:v>7.4994616193329398</c:v>
                </c:pt>
                <c:pt idx="9">
                  <c:v>5.0570512669618397</c:v>
                </c:pt>
                <c:pt idx="10">
                  <c:v>6.1785528959690179</c:v>
                </c:pt>
              </c:numCache>
            </c:numRef>
          </c:val>
          <c:smooth val="0"/>
          <c:extLst>
            <c:ext xmlns:c16="http://schemas.microsoft.com/office/drawing/2014/chart" uri="{C3380CC4-5D6E-409C-BE32-E72D297353CC}">
              <c16:uniqueId val="{00000004-0324-4758-A3F6-9C3A0AB97B92}"/>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250kW'!$B$62</c:f>
          <c:strCache>
            <c:ptCount val="1"/>
            <c:pt idx="0">
              <c:v>Total cost per kW day at sea (£)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C56D-40EE-899A-74A3F9027BF7}"/>
              </c:ext>
            </c:extLst>
          </c:dPt>
          <c:dPt>
            <c:idx val="10"/>
            <c:bubble3D val="0"/>
            <c:spPr>
              <a:ln w="57150">
                <a:solidFill>
                  <a:srgbClr val="087CBB"/>
                </a:solidFill>
                <a:prstDash val="sysDot"/>
              </a:ln>
            </c:spPr>
            <c:extLst>
              <c:ext xmlns:c16="http://schemas.microsoft.com/office/drawing/2014/chart" uri="{C3380CC4-5D6E-409C-BE32-E72D297353CC}">
                <c16:uniqueId val="{00000003-C56D-40EE-899A-74A3F9027BF7}"/>
              </c:ext>
            </c:extLst>
          </c:dPt>
          <c:cat>
            <c:numRef>
              <c:f>'WOS nephrops under 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'WOS nephrops under 250kW'!$D$23:$N$23</c:f>
              <c:numCache>
                <c:formatCode>#,##0.00</c:formatCode>
                <c:ptCount val="11"/>
                <c:pt idx="0">
                  <c:v>6.1276759893709203</c:v>
                </c:pt>
                <c:pt idx="1">
                  <c:v>6.6193866216725903</c:v>
                </c:pt>
                <c:pt idx="2">
                  <c:v>6.3945822480943697</c:v>
                </c:pt>
                <c:pt idx="3">
                  <c:v>6.3141658955034297</c:v>
                </c:pt>
                <c:pt idx="4">
                  <c:v>5.6542172011819796</c:v>
                </c:pt>
                <c:pt idx="5">
                  <c:v>6.2714700986489902</c:v>
                </c:pt>
                <c:pt idx="6">
                  <c:v>6.3595081126215298</c:v>
                </c:pt>
                <c:pt idx="7">
                  <c:v>6.3218721856090303</c:v>
                </c:pt>
                <c:pt idx="8">
                  <c:v>6.6195861210716496</c:v>
                </c:pt>
                <c:pt idx="9">
                  <c:v>4.7791176438069298</c:v>
                </c:pt>
                <c:pt idx="10">
                  <c:v>5.200727251734043</c:v>
                </c:pt>
              </c:numCache>
            </c:numRef>
          </c:val>
          <c:smooth val="0"/>
          <c:extLst>
            <c:ext xmlns:c16="http://schemas.microsoft.com/office/drawing/2014/chart" uri="{C3380CC4-5D6E-409C-BE32-E72D297353CC}">
              <c16:uniqueId val="{00000004-C56D-40EE-899A-74A3F9027BF7}"/>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250kW'!$K$48</c:f>
          <c:strCache>
            <c:ptCount val="1"/>
            <c:pt idx="0">
              <c:v>Operating profit per kW day at sea (£)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641F-4C13-8235-4E8869A8309A}"/>
              </c:ext>
            </c:extLst>
          </c:dPt>
          <c:dPt>
            <c:idx val="10"/>
            <c:bubble3D val="0"/>
            <c:spPr>
              <a:ln w="57150">
                <a:solidFill>
                  <a:schemeClr val="accent3"/>
                </a:solidFill>
                <a:prstDash val="sysDot"/>
              </a:ln>
            </c:spPr>
            <c:extLst>
              <c:ext xmlns:c16="http://schemas.microsoft.com/office/drawing/2014/chart" uri="{C3380CC4-5D6E-409C-BE32-E72D297353CC}">
                <c16:uniqueId val="{00000003-641F-4C13-8235-4E8869A8309A}"/>
              </c:ext>
            </c:extLst>
          </c:dPt>
          <c:cat>
            <c:numRef>
              <c:f>'WOS nephrops under 250kW'!$D$2:$N$2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'WOS nephrops under 250kW'!$D$24:$N$24</c:f>
              <c:numCache>
                <c:formatCode>#,##0.00</c:formatCode>
                <c:ptCount val="11"/>
                <c:pt idx="0">
                  <c:v>1.309634526535</c:v>
                </c:pt>
                <c:pt idx="1">
                  <c:v>1.82706106438057</c:v>
                </c:pt>
                <c:pt idx="2">
                  <c:v>1.1807631872564801</c:v>
                </c:pt>
                <c:pt idx="3">
                  <c:v>1.2929794915353301</c:v>
                </c:pt>
                <c:pt idx="4">
                  <c:v>1.3987758864972799</c:v>
                </c:pt>
                <c:pt idx="5">
                  <c:v>1.5949733174402101</c:v>
                </c:pt>
                <c:pt idx="6">
                  <c:v>1.3435705265655999</c:v>
                </c:pt>
                <c:pt idx="7">
                  <c:v>1.0519380874468001</c:v>
                </c:pt>
                <c:pt idx="8">
                  <c:v>0.95666491767820905</c:v>
                </c:pt>
                <c:pt idx="9">
                  <c:v>0.81335094518356199</c:v>
                </c:pt>
                <c:pt idx="10">
                  <c:v>1.0719359794690544</c:v>
                </c:pt>
              </c:numCache>
            </c:numRef>
          </c:val>
          <c:smooth val="0"/>
          <c:extLst>
            <c:ext xmlns:c16="http://schemas.microsoft.com/office/drawing/2014/chart" uri="{C3380CC4-5D6E-409C-BE32-E72D297353CC}">
              <c16:uniqueId val="{00000004-641F-4C13-8235-4E8869A8309A}"/>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250kW'!$A$50</c:f>
          <c:strCache>
            <c:ptCount val="1"/>
            <c:pt idx="0">
              <c:v>Average price per tonne landed (£)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6A4E-4C38-89E4-872F8DEBC966}"/>
              </c:ext>
            </c:extLst>
          </c:dPt>
          <c:dPt>
            <c:idx val="10"/>
            <c:bubble3D val="0"/>
            <c:spPr>
              <a:ln w="57150">
                <a:solidFill>
                  <a:schemeClr val="accent4"/>
                </a:solidFill>
                <a:prstDash val="sysDot"/>
              </a:ln>
            </c:spPr>
            <c:extLst>
              <c:ext xmlns:c16="http://schemas.microsoft.com/office/drawing/2014/chart" uri="{C3380CC4-5D6E-409C-BE32-E72D297353CC}">
                <c16:uniqueId val="{00000003-6A4E-4C38-89E4-872F8DEBC966}"/>
              </c:ext>
            </c:extLst>
          </c:dPt>
          <c:cat>
            <c:numRef>
              <c:f>'WOS nephrops under 250kW'!$D$2:$M$2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under 250kW'!$D$20:$N$20</c:f>
              <c:numCache>
                <c:formatCode>#,##0</c:formatCode>
                <c:ptCount val="11"/>
                <c:pt idx="0">
                  <c:v>3113</c:v>
                </c:pt>
                <c:pt idx="1">
                  <c:v>3281</c:v>
                </c:pt>
                <c:pt idx="2">
                  <c:v>2916</c:v>
                </c:pt>
                <c:pt idx="3">
                  <c:v>3070</c:v>
                </c:pt>
                <c:pt idx="4">
                  <c:v>3106</c:v>
                </c:pt>
                <c:pt idx="5">
                  <c:v>2870</c:v>
                </c:pt>
                <c:pt idx="6">
                  <c:v>2875</c:v>
                </c:pt>
                <c:pt idx="7">
                  <c:v>3030</c:v>
                </c:pt>
                <c:pt idx="8">
                  <c:v>2923</c:v>
                </c:pt>
                <c:pt idx="9">
                  <c:v>2228</c:v>
                </c:pt>
                <c:pt idx="10">
                  <c:v>2272</c:v>
                </c:pt>
              </c:numCache>
            </c:numRef>
          </c:val>
          <c:smooth val="0"/>
          <c:extLst>
            <c:ext xmlns:c16="http://schemas.microsoft.com/office/drawing/2014/chart" uri="{C3380CC4-5D6E-409C-BE32-E72D297353CC}">
              <c16:uniqueId val="{00000004-6A4E-4C38-89E4-872F8DEBC966}"/>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250kW'!$K$62</c:f>
          <c:strCache>
            <c:ptCount val="1"/>
            <c:pt idx="0">
              <c:v>Average annual operating profit per vessel (£'000)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D6B7-46B1-A53A-7742CFBAEB6B}"/>
              </c:ext>
            </c:extLst>
          </c:dPt>
          <c:dPt>
            <c:idx val="10"/>
            <c:bubble3D val="0"/>
            <c:spPr>
              <a:ln w="57150">
                <a:solidFill>
                  <a:schemeClr val="accent5"/>
                </a:solidFill>
                <a:prstDash val="sysDot"/>
              </a:ln>
            </c:spPr>
            <c:extLst>
              <c:ext xmlns:c16="http://schemas.microsoft.com/office/drawing/2014/chart" uri="{C3380CC4-5D6E-409C-BE32-E72D297353CC}">
                <c16:uniqueId val="{00000003-D6B7-46B1-A53A-7742CFBAEB6B}"/>
              </c:ext>
            </c:extLst>
          </c:dPt>
          <c:cat>
            <c:numRef>
              <c:f>'WOS nephrops under 250kW'!$D$2:$M$2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'WOS nephrops under 250kW'!$D$37:$N$37</c:f>
              <c:numCache>
                <c:formatCode>#,##0.0</c:formatCode>
                <c:ptCount val="11"/>
                <c:pt idx="0">
                  <c:v>34.9</c:v>
                </c:pt>
                <c:pt idx="1">
                  <c:v>49.9</c:v>
                </c:pt>
                <c:pt idx="2">
                  <c:v>31.6</c:v>
                </c:pt>
                <c:pt idx="3">
                  <c:v>34.700000000000003</c:v>
                </c:pt>
                <c:pt idx="4">
                  <c:v>35</c:v>
                </c:pt>
                <c:pt idx="5">
                  <c:v>43.2</c:v>
                </c:pt>
                <c:pt idx="6">
                  <c:v>34.4</c:v>
                </c:pt>
                <c:pt idx="7">
                  <c:v>27</c:v>
                </c:pt>
                <c:pt idx="8">
                  <c:v>27</c:v>
                </c:pt>
                <c:pt idx="9">
                  <c:v>17.8</c:v>
                </c:pt>
                <c:pt idx="10">
                  <c:v>28.1</c:v>
                </c:pt>
              </c:numCache>
            </c:numRef>
          </c:val>
          <c:smooth val="0"/>
          <c:extLst>
            <c:ext xmlns:c16="http://schemas.microsoft.com/office/drawing/2014/chart" uri="{C3380CC4-5D6E-409C-BE32-E72D297353CC}">
              <c16:uniqueId val="{00000004-D6B7-46B1-A53A-7742CFBAEB6B}"/>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under 250kW'!$A$76</c:f>
          <c:strCache>
            <c:ptCount val="1"/>
            <c:pt idx="0">
              <c:v>Top 5 landed species by volume in 2020
WOS nephrops under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F0FA-41F0-9430-4E59863BCD55}"/>
              </c:ext>
            </c:extLst>
          </c:dPt>
          <c:dPt>
            <c:idx val="1"/>
            <c:bubble3D val="0"/>
            <c:spPr>
              <a:solidFill>
                <a:srgbClr val="648C2E"/>
              </a:solidFill>
              <a:ln>
                <a:solidFill>
                  <a:srgbClr val="FFFFFF"/>
                </a:solidFill>
              </a:ln>
            </c:spPr>
            <c:extLst>
              <c:ext xmlns:c16="http://schemas.microsoft.com/office/drawing/2014/chart" uri="{C3380CC4-5D6E-409C-BE32-E72D297353CC}">
                <c16:uniqueId val="{00000003-F0FA-41F0-9430-4E59863BCD55}"/>
              </c:ext>
            </c:extLst>
          </c:dPt>
          <c:dPt>
            <c:idx val="2"/>
            <c:bubble3D val="0"/>
            <c:spPr>
              <a:solidFill>
                <a:srgbClr val="E87308"/>
              </a:solidFill>
              <a:ln>
                <a:solidFill>
                  <a:srgbClr val="FFFFFF"/>
                </a:solidFill>
              </a:ln>
            </c:spPr>
            <c:extLst>
              <c:ext xmlns:c16="http://schemas.microsoft.com/office/drawing/2014/chart" uri="{C3380CC4-5D6E-409C-BE32-E72D297353CC}">
                <c16:uniqueId val="{00000005-F0FA-41F0-9430-4E59863BCD55}"/>
              </c:ext>
            </c:extLst>
          </c:dPt>
          <c:dPt>
            <c:idx val="3"/>
            <c:bubble3D val="0"/>
            <c:spPr>
              <a:solidFill>
                <a:srgbClr val="C1D119"/>
              </a:solidFill>
              <a:ln>
                <a:solidFill>
                  <a:srgbClr val="FFFFFF"/>
                </a:solidFill>
              </a:ln>
            </c:spPr>
            <c:extLst>
              <c:ext xmlns:c16="http://schemas.microsoft.com/office/drawing/2014/chart" uri="{C3380CC4-5D6E-409C-BE32-E72D297353CC}">
                <c16:uniqueId val="{00000007-F0FA-41F0-9430-4E59863BCD55}"/>
              </c:ext>
            </c:extLst>
          </c:dPt>
          <c:dPt>
            <c:idx val="4"/>
            <c:bubble3D val="0"/>
            <c:spPr>
              <a:solidFill>
                <a:srgbClr val="E84A38"/>
              </a:solidFill>
              <a:ln>
                <a:solidFill>
                  <a:srgbClr val="FFFFFF"/>
                </a:solidFill>
              </a:ln>
            </c:spPr>
            <c:extLst>
              <c:ext xmlns:c16="http://schemas.microsoft.com/office/drawing/2014/chart" uri="{C3380CC4-5D6E-409C-BE32-E72D297353CC}">
                <c16:uniqueId val="{00000009-F0FA-41F0-9430-4E59863BCD55}"/>
              </c:ext>
            </c:extLst>
          </c:dPt>
          <c:dPt>
            <c:idx val="5"/>
            <c:bubble3D val="0"/>
            <c:spPr>
              <a:solidFill>
                <a:srgbClr val="55585A"/>
              </a:solidFill>
              <a:ln>
                <a:solidFill>
                  <a:srgbClr val="FFFFFF"/>
                </a:solidFill>
              </a:ln>
            </c:spPr>
            <c:extLst>
              <c:ext xmlns:c16="http://schemas.microsoft.com/office/drawing/2014/chart" uri="{C3380CC4-5D6E-409C-BE32-E72D297353CC}">
                <c16:uniqueId val="{0000000B-F0FA-41F0-9430-4E59863BCD55}"/>
              </c:ext>
            </c:extLst>
          </c:dPt>
          <c:cat>
            <c:strRef>
              <c:f>'WOS nephrops under 250kW'!$B$77:$B$82</c:f>
              <c:strCache>
                <c:ptCount val="6"/>
                <c:pt idx="0">
                  <c:v>Nephrops - 94.4%</c:v>
                </c:pt>
                <c:pt idx="1">
                  <c:v>Scallops - 2.5%</c:v>
                </c:pt>
                <c:pt idx="2">
                  <c:v>Squid - 1.2%</c:v>
                </c:pt>
                <c:pt idx="3">
                  <c:v>Brown Crab - 0.5%</c:v>
                </c:pt>
                <c:pt idx="4">
                  <c:v>Anglerfish - 0.4%</c:v>
                </c:pt>
                <c:pt idx="5">
                  <c:v>Others - 1.0%</c:v>
                </c:pt>
              </c:strCache>
            </c:strRef>
          </c:cat>
          <c:val>
            <c:numRef>
              <c:f>'WOS nephrops under 250kW'!$C$77:$C$82</c:f>
              <c:numCache>
                <c:formatCode>0.0%</c:formatCode>
                <c:ptCount val="6"/>
                <c:pt idx="0">
                  <c:v>0.9443425436911449</c:v>
                </c:pt>
                <c:pt idx="1">
                  <c:v>2.5293369689569967E-2</c:v>
                </c:pt>
                <c:pt idx="2">
                  <c:v>1.1624710821090879E-2</c:v>
                </c:pt>
                <c:pt idx="3">
                  <c:v>4.6370401452442492E-3</c:v>
                </c:pt>
                <c:pt idx="4">
                  <c:v>3.9489422003344101E-3</c:v>
                </c:pt>
                <c:pt idx="5">
                  <c:v>1.0153393452615678E-2</c:v>
                </c:pt>
              </c:numCache>
            </c:numRef>
          </c:val>
          <c:extLst>
            <c:ext xmlns:c16="http://schemas.microsoft.com/office/drawing/2014/chart" uri="{C3380CC4-5D6E-409C-BE32-E72D297353CC}">
              <c16:uniqueId val="{0000000C-F0FA-41F0-9430-4E59863BCD55}"/>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under 250kW'!$F$76</c:f>
          <c:strCache>
            <c:ptCount val="1"/>
            <c:pt idx="0">
              <c:v>Top 5 landed species by value in 2020
WOS nephrops under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EEBF-4FFC-83F4-5E1261BCC55C}"/>
              </c:ext>
            </c:extLst>
          </c:dPt>
          <c:dPt>
            <c:idx val="1"/>
            <c:bubble3D val="0"/>
            <c:spPr>
              <a:solidFill>
                <a:srgbClr val="E87308"/>
              </a:solidFill>
              <a:ln>
                <a:solidFill>
                  <a:srgbClr val="FFFFFF"/>
                </a:solidFill>
              </a:ln>
            </c:spPr>
            <c:extLst>
              <c:ext xmlns:c16="http://schemas.microsoft.com/office/drawing/2014/chart" uri="{C3380CC4-5D6E-409C-BE32-E72D297353CC}">
                <c16:uniqueId val="{00000003-EEBF-4FFC-83F4-5E1261BCC55C}"/>
              </c:ext>
            </c:extLst>
          </c:dPt>
          <c:dPt>
            <c:idx val="2"/>
            <c:bubble3D val="0"/>
            <c:spPr>
              <a:solidFill>
                <a:srgbClr val="648C2E"/>
              </a:solidFill>
              <a:ln>
                <a:solidFill>
                  <a:srgbClr val="FFFFFF"/>
                </a:solidFill>
              </a:ln>
            </c:spPr>
            <c:extLst>
              <c:ext xmlns:c16="http://schemas.microsoft.com/office/drawing/2014/chart" uri="{C3380CC4-5D6E-409C-BE32-E72D297353CC}">
                <c16:uniqueId val="{00000005-EEBF-4FFC-83F4-5E1261BCC55C}"/>
              </c:ext>
            </c:extLst>
          </c:dPt>
          <c:dPt>
            <c:idx val="3"/>
            <c:bubble3D val="0"/>
            <c:spPr>
              <a:solidFill>
                <a:srgbClr val="C1D119"/>
              </a:solidFill>
              <a:ln>
                <a:solidFill>
                  <a:srgbClr val="FFFFFF"/>
                </a:solidFill>
              </a:ln>
            </c:spPr>
            <c:extLst>
              <c:ext xmlns:c16="http://schemas.microsoft.com/office/drawing/2014/chart" uri="{C3380CC4-5D6E-409C-BE32-E72D297353CC}">
                <c16:uniqueId val="{00000007-EEBF-4FFC-83F4-5E1261BCC55C}"/>
              </c:ext>
            </c:extLst>
          </c:dPt>
          <c:dPt>
            <c:idx val="4"/>
            <c:bubble3D val="0"/>
            <c:spPr>
              <a:solidFill>
                <a:srgbClr val="E84A38"/>
              </a:solidFill>
              <a:ln>
                <a:solidFill>
                  <a:srgbClr val="FFFFFF"/>
                </a:solidFill>
              </a:ln>
            </c:spPr>
            <c:extLst>
              <c:ext xmlns:c16="http://schemas.microsoft.com/office/drawing/2014/chart" uri="{C3380CC4-5D6E-409C-BE32-E72D297353CC}">
                <c16:uniqueId val="{00000009-EEBF-4FFC-83F4-5E1261BCC55C}"/>
              </c:ext>
            </c:extLst>
          </c:dPt>
          <c:dPt>
            <c:idx val="5"/>
            <c:bubble3D val="0"/>
            <c:spPr>
              <a:solidFill>
                <a:srgbClr val="55585A"/>
              </a:solidFill>
              <a:ln>
                <a:solidFill>
                  <a:srgbClr val="FFFFFF"/>
                </a:solidFill>
              </a:ln>
            </c:spPr>
            <c:extLst>
              <c:ext xmlns:c16="http://schemas.microsoft.com/office/drawing/2014/chart" uri="{C3380CC4-5D6E-409C-BE32-E72D297353CC}">
                <c16:uniqueId val="{0000000B-EEBF-4FFC-83F4-5E1261BCC55C}"/>
              </c:ext>
            </c:extLst>
          </c:dPt>
          <c:cat>
            <c:strRef>
              <c:f>'WOS nephrops under 250kW'!$G$77:$G$82</c:f>
              <c:strCache>
                <c:ptCount val="6"/>
                <c:pt idx="0">
                  <c:v>Nephrops - 93.2%</c:v>
                </c:pt>
                <c:pt idx="1">
                  <c:v>Squid - 2.8%</c:v>
                </c:pt>
                <c:pt idx="2">
                  <c:v>Scallops - 2.6%</c:v>
                </c:pt>
                <c:pt idx="3">
                  <c:v>Brown Crab - 0.4%</c:v>
                </c:pt>
                <c:pt idx="4">
                  <c:v>Anglerfish - 0.3%</c:v>
                </c:pt>
                <c:pt idx="5">
                  <c:v>Others - 0.6%</c:v>
                </c:pt>
              </c:strCache>
            </c:strRef>
          </c:cat>
          <c:val>
            <c:numRef>
              <c:f>'WOS nephrops under 250kW'!$H$77:$H$82</c:f>
              <c:numCache>
                <c:formatCode>0.0%</c:formatCode>
                <c:ptCount val="6"/>
                <c:pt idx="0">
                  <c:v>0.9320645827757672</c:v>
                </c:pt>
                <c:pt idx="1">
                  <c:v>2.8243633731485255E-2</c:v>
                </c:pt>
                <c:pt idx="2">
                  <c:v>2.6384645289937218E-2</c:v>
                </c:pt>
                <c:pt idx="3">
                  <c:v>3.700081940909641E-3</c:v>
                </c:pt>
                <c:pt idx="4">
                  <c:v>3.2331823634311071E-3</c:v>
                </c:pt>
                <c:pt idx="5">
                  <c:v>6.3738738984695509E-3</c:v>
                </c:pt>
              </c:numCache>
            </c:numRef>
          </c:val>
          <c:extLst>
            <c:ext xmlns:c16="http://schemas.microsoft.com/office/drawing/2014/chart" uri="{C3380CC4-5D6E-409C-BE32-E72D297353CC}">
              <c16:uniqueId val="{0000000C-EEBF-4FFC-83F4-5E1261BCC55C}"/>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under 250kW'!$K$77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'WOS nephrops under 250kW'!$C$92</c:f>
              <c:strCache>
                <c:ptCount val="1"/>
                <c:pt idx="0">
                  <c:v>Nephrops</c:v>
                </c:pt>
              </c:strCache>
            </c:strRef>
          </c:tx>
          <c:spPr>
            <a:solidFill>
              <a:srgbClr val="2273B9"/>
            </a:solidFill>
            <a:ln>
              <a:solidFill>
                <a:srgbClr val="FFFFFF"/>
              </a:solidFill>
            </a:ln>
          </c:spPr>
          <c:invertIfNegative val="0"/>
          <c:cat>
            <c:numRef>
              <c:f>'WOS nephrops under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under 250kW'!$D$92:$M$92</c:f>
              <c:numCache>
                <c:formatCode>0%</c:formatCode>
                <c:ptCount val="10"/>
                <c:pt idx="0">
                  <c:v>0.95876494800364065</c:v>
                </c:pt>
                <c:pt idx="1">
                  <c:v>0.95642993523267572</c:v>
                </c:pt>
                <c:pt idx="2">
                  <c:v>0.97638166235546109</c:v>
                </c:pt>
                <c:pt idx="3">
                  <c:v>0.97741443134295813</c:v>
                </c:pt>
                <c:pt idx="4">
                  <c:v>0.97618989992581506</c:v>
                </c:pt>
                <c:pt idx="5">
                  <c:v>0.96569663096188274</c:v>
                </c:pt>
                <c:pt idx="6">
                  <c:v>0.96408525618343599</c:v>
                </c:pt>
                <c:pt idx="7">
                  <c:v>0.95675579344801076</c:v>
                </c:pt>
                <c:pt idx="8">
                  <c:v>0.9320645827757672</c:v>
                </c:pt>
                <c:pt idx="9">
                  <c:v>0.97504525059392244</c:v>
                </c:pt>
              </c:numCache>
            </c:numRef>
          </c:val>
          <c:extLst>
            <c:ext xmlns:c16="http://schemas.microsoft.com/office/drawing/2014/chart" uri="{C3380CC4-5D6E-409C-BE32-E72D297353CC}">
              <c16:uniqueId val="{00000000-98C2-4476-8E29-03B615416107}"/>
            </c:ext>
          </c:extLst>
        </c:ser>
        <c:ser>
          <c:idx val="1"/>
          <c:order val="1"/>
          <c:tx>
            <c:strRef>
              <c:f>'WOS nephrops under 250kW'!$C$93</c:f>
              <c:strCache>
                <c:ptCount val="1"/>
                <c:pt idx="0">
                  <c:v>Squid</c:v>
                </c:pt>
              </c:strCache>
            </c:strRef>
          </c:tx>
          <c:spPr>
            <a:solidFill>
              <a:srgbClr val="E87308"/>
            </a:solidFill>
            <a:ln>
              <a:solidFill>
                <a:srgbClr val="FFFFFF"/>
              </a:solidFill>
            </a:ln>
          </c:spPr>
          <c:invertIfNegative val="0"/>
          <c:cat>
            <c:numRef>
              <c:f>'WOS nephrops under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under 250kW'!$D$93:$M$93</c:f>
              <c:numCache>
                <c:formatCode>0%</c:formatCode>
                <c:ptCount val="10"/>
                <c:pt idx="1">
                  <c:v>3.7594886197009972E-3</c:v>
                </c:pt>
                <c:pt idx="4">
                  <c:v>2.9285641748799146E-3</c:v>
                </c:pt>
                <c:pt idx="5">
                  <c:v>9.3756376493999583E-3</c:v>
                </c:pt>
                <c:pt idx="6">
                  <c:v>5.5430186986126766E-3</c:v>
                </c:pt>
                <c:pt idx="7">
                  <c:v>1.1684202946302203E-2</c:v>
                </c:pt>
                <c:pt idx="8">
                  <c:v>2.8243633731485255E-2</c:v>
                </c:pt>
                <c:pt idx="9">
                  <c:v>9.5090964577180716E-3</c:v>
                </c:pt>
              </c:numCache>
            </c:numRef>
          </c:val>
          <c:extLst>
            <c:ext xmlns:c16="http://schemas.microsoft.com/office/drawing/2014/chart" uri="{C3380CC4-5D6E-409C-BE32-E72D297353CC}">
              <c16:uniqueId val="{00000001-98C2-4476-8E29-03B615416107}"/>
            </c:ext>
          </c:extLst>
        </c:ser>
        <c:ser>
          <c:idx val="2"/>
          <c:order val="2"/>
          <c:tx>
            <c:strRef>
              <c:f>'WOS nephrops under 250kW'!$C$94</c:f>
              <c:strCache>
                <c:ptCount val="1"/>
                <c:pt idx="0">
                  <c:v>Scallops</c:v>
                </c:pt>
              </c:strCache>
            </c:strRef>
          </c:tx>
          <c:spPr>
            <a:solidFill>
              <a:srgbClr val="648C2E"/>
            </a:solidFill>
            <a:ln>
              <a:solidFill>
                <a:srgbClr val="FFFFFF"/>
              </a:solidFill>
            </a:ln>
          </c:spPr>
          <c:invertIfNegative val="0"/>
          <c:cat>
            <c:numRef>
              <c:f>'WOS nephrops under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under 250kW'!$D$94:$M$94</c:f>
              <c:numCache>
                <c:formatCode>0%</c:formatCode>
                <c:ptCount val="10"/>
                <c:pt idx="0">
                  <c:v>2.1520087451725844E-2</c:v>
                </c:pt>
                <c:pt idx="1">
                  <c:v>1.299499445453184E-2</c:v>
                </c:pt>
                <c:pt idx="2">
                  <c:v>3.8541152834509085E-3</c:v>
                </c:pt>
                <c:pt idx="3">
                  <c:v>9.3501579401829536E-3</c:v>
                </c:pt>
                <c:pt idx="4">
                  <c:v>9.4301421229082485E-3</c:v>
                </c:pt>
                <c:pt idx="5">
                  <c:v>8.983742358474843E-3</c:v>
                </c:pt>
                <c:pt idx="6">
                  <c:v>9.1791442667017876E-3</c:v>
                </c:pt>
                <c:pt idx="7">
                  <c:v>1.2980922755408013E-2</c:v>
                </c:pt>
                <c:pt idx="8">
                  <c:v>2.6384645289937218E-2</c:v>
                </c:pt>
              </c:numCache>
            </c:numRef>
          </c:val>
          <c:extLst>
            <c:ext xmlns:c16="http://schemas.microsoft.com/office/drawing/2014/chart" uri="{C3380CC4-5D6E-409C-BE32-E72D297353CC}">
              <c16:uniqueId val="{00000002-98C2-4476-8E29-03B615416107}"/>
            </c:ext>
          </c:extLst>
        </c:ser>
        <c:ser>
          <c:idx val="3"/>
          <c:order val="3"/>
          <c:tx>
            <c:strRef>
              <c:f>'WOS nephrops under 250kW'!$C$95</c:f>
              <c:strCache>
                <c:ptCount val="1"/>
                <c:pt idx="0">
                  <c:v>Brown Crab</c:v>
                </c:pt>
              </c:strCache>
            </c:strRef>
          </c:tx>
          <c:spPr>
            <a:solidFill>
              <a:srgbClr val="C1D119"/>
            </a:solidFill>
            <a:ln>
              <a:solidFill>
                <a:srgbClr val="FFFFFF"/>
              </a:solidFill>
            </a:ln>
          </c:spPr>
          <c:invertIfNegative val="0"/>
          <c:cat>
            <c:numRef>
              <c:f>'WOS nephrops under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under 250kW'!$D$95:$M$95</c:f>
              <c:numCache>
                <c:formatCode>0%</c:formatCode>
                <c:ptCount val="10"/>
                <c:pt idx="2">
                  <c:v>3.4221695504747613E-3</c:v>
                </c:pt>
                <c:pt idx="3">
                  <c:v>2.9480861338771801E-3</c:v>
                </c:pt>
                <c:pt idx="4">
                  <c:v>4.1063308537431188E-3</c:v>
                </c:pt>
                <c:pt idx="5">
                  <c:v>7.3463898037433176E-3</c:v>
                </c:pt>
                <c:pt idx="6">
                  <c:v>1.082066561268367E-2</c:v>
                </c:pt>
                <c:pt idx="8">
                  <c:v>3.700081940909641E-3</c:v>
                </c:pt>
                <c:pt idx="9">
                  <c:v>4.0851031583751859E-3</c:v>
                </c:pt>
              </c:numCache>
            </c:numRef>
          </c:val>
          <c:extLst>
            <c:ext xmlns:c16="http://schemas.microsoft.com/office/drawing/2014/chart" uri="{C3380CC4-5D6E-409C-BE32-E72D297353CC}">
              <c16:uniqueId val="{00000003-98C2-4476-8E29-03B615416107}"/>
            </c:ext>
          </c:extLst>
        </c:ser>
        <c:ser>
          <c:idx val="4"/>
          <c:order val="4"/>
          <c:tx>
            <c:strRef>
              <c:f>'WOS nephrops under 250kW'!$C$96</c:f>
              <c:strCache>
                <c:ptCount val="1"/>
                <c:pt idx="0">
                  <c:v>Anglerfish</c:v>
                </c:pt>
              </c:strCache>
            </c:strRef>
          </c:tx>
          <c:spPr>
            <a:solidFill>
              <a:srgbClr val="E84A38"/>
            </a:solidFill>
            <a:ln>
              <a:solidFill>
                <a:srgbClr val="FFFFFF"/>
              </a:solidFill>
            </a:ln>
          </c:spPr>
          <c:invertIfNegative val="0"/>
          <c:cat>
            <c:numRef>
              <c:f>'WOS nephrops under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under 250kW'!$D$96:$M$96</c:f>
              <c:numCache>
                <c:formatCode>0%</c:formatCode>
                <c:ptCount val="10"/>
                <c:pt idx="0">
                  <c:v>2.0489463798348201E-3</c:v>
                </c:pt>
                <c:pt idx="2">
                  <c:v>4.6151376590610263E-3</c:v>
                </c:pt>
                <c:pt idx="3">
                  <c:v>3.5332638565793708E-3</c:v>
                </c:pt>
                <c:pt idx="4">
                  <c:v>2.4652998408192586E-3</c:v>
                </c:pt>
                <c:pt idx="5">
                  <c:v>2.9246483634644185E-3</c:v>
                </c:pt>
                <c:pt idx="6">
                  <c:v>5.1005529324523891E-3</c:v>
                </c:pt>
                <c:pt idx="7">
                  <c:v>4.1775407142161467E-3</c:v>
                </c:pt>
                <c:pt idx="8">
                  <c:v>3.2331823634311071E-3</c:v>
                </c:pt>
                <c:pt idx="9">
                  <c:v>1.770574402008061E-3</c:v>
                </c:pt>
              </c:numCache>
            </c:numRef>
          </c:val>
          <c:extLst>
            <c:ext xmlns:c16="http://schemas.microsoft.com/office/drawing/2014/chart" uri="{C3380CC4-5D6E-409C-BE32-E72D297353CC}">
              <c16:uniqueId val="{00000004-98C2-4476-8E29-03B615416107}"/>
            </c:ext>
          </c:extLst>
        </c:ser>
        <c:ser>
          <c:idx val="5"/>
          <c:order val="5"/>
          <c:tx>
            <c:strRef>
              <c:f>'WOS nephrops under 250kW'!$C$97</c:f>
              <c:strCache>
                <c:ptCount val="1"/>
                <c:pt idx="0">
                  <c:v>Queen Scallops</c:v>
                </c:pt>
              </c:strCache>
            </c:strRef>
          </c:tx>
          <c:spPr>
            <a:solidFill>
              <a:srgbClr val="0F9AA9"/>
            </a:solidFill>
            <a:ln>
              <a:solidFill>
                <a:srgbClr val="FFFFFF"/>
              </a:solidFill>
            </a:ln>
          </c:spPr>
          <c:invertIfNegative val="0"/>
          <c:cat>
            <c:numRef>
              <c:f>'WOS nephrops under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under 250kW'!$D$97:$M$97</c:f>
              <c:numCache>
                <c:formatCode>0%</c:formatCode>
                <c:ptCount val="10"/>
                <c:pt idx="0">
                  <c:v>4.0269147403617402E-3</c:v>
                </c:pt>
                <c:pt idx="1">
                  <c:v>7.5278379966742786E-3</c:v>
                </c:pt>
                <c:pt idx="9">
                  <c:v>3.9019173435102779E-3</c:v>
                </c:pt>
              </c:numCache>
            </c:numRef>
          </c:val>
          <c:extLst>
            <c:ext xmlns:c16="http://schemas.microsoft.com/office/drawing/2014/chart" uri="{C3380CC4-5D6E-409C-BE32-E72D297353CC}">
              <c16:uniqueId val="{00000005-98C2-4476-8E29-03B615416107}"/>
            </c:ext>
          </c:extLst>
        </c:ser>
        <c:ser>
          <c:idx val="6"/>
          <c:order val="6"/>
          <c:tx>
            <c:strRef>
              <c:f>'WOS nephrops under 250kW'!$C$98</c:f>
              <c:strCache>
                <c:ptCount val="1"/>
                <c:pt idx="0">
                  <c:v>Whiting</c:v>
                </c:pt>
              </c:strCache>
            </c:strRef>
          </c:tx>
          <c:spPr>
            <a:solidFill>
              <a:srgbClr val="FED825"/>
            </a:solidFill>
            <a:ln>
              <a:solidFill>
                <a:srgbClr val="FFFFFF"/>
              </a:solidFill>
            </a:ln>
          </c:spPr>
          <c:invertIfNegative val="0"/>
          <c:cat>
            <c:numRef>
              <c:f>'WOS nephrops under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under 250kW'!$D$98:$M$98</c:f>
              <c:numCache>
                <c:formatCode>0%</c:formatCode>
                <c:ptCount val="10"/>
                <c:pt idx="7">
                  <c:v>5.3353492931610064E-3</c:v>
                </c:pt>
              </c:numCache>
            </c:numRef>
          </c:val>
          <c:extLst>
            <c:ext xmlns:c16="http://schemas.microsoft.com/office/drawing/2014/chart" uri="{C3380CC4-5D6E-409C-BE32-E72D297353CC}">
              <c16:uniqueId val="{00000006-98C2-4476-8E29-03B615416107}"/>
            </c:ext>
          </c:extLst>
        </c:ser>
        <c:ser>
          <c:idx val="7"/>
          <c:order val="7"/>
          <c:tx>
            <c:strRef>
              <c:f>'WOS nephrops under 250kW'!$C$99</c:f>
              <c:strCache>
                <c:ptCount val="1"/>
                <c:pt idx="0">
                  <c:v>Haddock</c:v>
                </c:pt>
              </c:strCache>
            </c:strRef>
          </c:tx>
          <c:spPr>
            <a:solidFill>
              <a:srgbClr val="707271"/>
            </a:solidFill>
            <a:ln>
              <a:solidFill>
                <a:srgbClr val="FFFFFF"/>
              </a:solidFill>
            </a:ln>
          </c:spPr>
          <c:invertIfNegative val="0"/>
          <c:cat>
            <c:numRef>
              <c:f>'WOS nephrops under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under 250kW'!$D$99:$M$99</c:f>
              <c:numCache>
                <c:formatCode>0%</c:formatCode>
                <c:ptCount val="10"/>
                <c:pt idx="0">
                  <c:v>3.3071228800882892E-3</c:v>
                </c:pt>
                <c:pt idx="3">
                  <c:v>1.5410572834852749E-3</c:v>
                </c:pt>
              </c:numCache>
            </c:numRef>
          </c:val>
          <c:extLst>
            <c:ext xmlns:c16="http://schemas.microsoft.com/office/drawing/2014/chart" uri="{C3380CC4-5D6E-409C-BE32-E72D297353CC}">
              <c16:uniqueId val="{00000007-98C2-4476-8E29-03B615416107}"/>
            </c:ext>
          </c:extLst>
        </c:ser>
        <c:ser>
          <c:idx val="8"/>
          <c:order val="8"/>
          <c:tx>
            <c:strRef>
              <c:f>'WOS nephrops under 250kW'!$C$100</c:f>
              <c:strCache>
                <c:ptCount val="1"/>
                <c:pt idx="0">
                  <c:v>Megrim</c:v>
                </c:pt>
              </c:strCache>
            </c:strRef>
          </c:tx>
          <c:spPr>
            <a:solidFill>
              <a:srgbClr val="51AA81"/>
            </a:solidFill>
            <a:ln>
              <a:solidFill>
                <a:srgbClr val="FFFFFF"/>
              </a:solidFill>
            </a:ln>
          </c:spPr>
          <c:invertIfNegative val="0"/>
          <c:cat>
            <c:numRef>
              <c:f>'WOS nephrops under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under 250kW'!$D$100:$M$100</c:f>
              <c:numCache>
                <c:formatCode>0%</c:formatCode>
                <c:ptCount val="10"/>
                <c:pt idx="2">
                  <c:v>2.12054132636767E-3</c:v>
                </c:pt>
              </c:numCache>
            </c:numRef>
          </c:val>
          <c:extLst>
            <c:ext xmlns:c16="http://schemas.microsoft.com/office/drawing/2014/chart" uri="{C3380CC4-5D6E-409C-BE32-E72D297353CC}">
              <c16:uniqueId val="{00000008-98C2-4476-8E29-03B615416107}"/>
            </c:ext>
          </c:extLst>
        </c:ser>
        <c:ser>
          <c:idx val="9"/>
          <c:order val="9"/>
          <c:tx>
            <c:strRef>
              <c:f>'WOS nephrops under 250kW'!$C$101</c:f>
              <c:strCache>
                <c:ptCount val="1"/>
                <c:pt idx="0">
                  <c:v>Razor Clam</c:v>
                </c:pt>
              </c:strCache>
            </c:strRef>
          </c:tx>
          <c:spPr>
            <a:solidFill>
              <a:srgbClr val="169FDB"/>
            </a:solidFill>
            <a:ln>
              <a:solidFill>
                <a:srgbClr val="FFFFFF"/>
              </a:solidFill>
            </a:ln>
          </c:spPr>
          <c:invertIfNegative val="0"/>
          <c:cat>
            <c:numRef>
              <c:f>'WOS nephrops under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under 250kW'!$D$101:$M$101</c:f>
              <c:numCache>
                <c:formatCode>0%</c:formatCode>
                <c:ptCount val="10"/>
                <c:pt idx="1">
                  <c:v>5.2567045762981542E-3</c:v>
                </c:pt>
              </c:numCache>
            </c:numRef>
          </c:val>
          <c:extLst>
            <c:ext xmlns:c16="http://schemas.microsoft.com/office/drawing/2014/chart" uri="{C3380CC4-5D6E-409C-BE32-E72D297353CC}">
              <c16:uniqueId val="{00000009-98C2-4476-8E29-03B615416107}"/>
            </c:ext>
          </c:extLst>
        </c:ser>
        <c:ser>
          <c:idx val="10"/>
          <c:order val="10"/>
          <c:tx>
            <c:strRef>
              <c:f>'WOS nephrops under 250kW'!$C$102</c:f>
              <c:strCache>
                <c:ptCount val="1"/>
                <c:pt idx="0">
                  <c:v>Others</c:v>
                </c:pt>
              </c:strCache>
            </c:strRef>
          </c:tx>
          <c:spPr>
            <a:solidFill>
              <a:srgbClr val="55585A"/>
            </a:solidFill>
            <a:ln>
              <a:solidFill>
                <a:srgbClr val="FFFFFF"/>
              </a:solidFill>
            </a:ln>
          </c:spPr>
          <c:invertIfNegative val="0"/>
          <c:cat>
            <c:numRef>
              <c:f>'WOS nephrops under 250kW'!$D$91:$M$91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'WOS nephrops under 250kW'!$D$102:$M$102</c:f>
              <c:numCache>
                <c:formatCode>0%</c:formatCode>
                <c:ptCount val="10"/>
                <c:pt idx="0">
                  <c:v>1.0331980544348689E-2</c:v>
                </c:pt>
                <c:pt idx="1">
                  <c:v>1.4031039120119052E-2</c:v>
                </c:pt>
                <c:pt idx="2">
                  <c:v>9.6063738251845401E-3</c:v>
                </c:pt>
                <c:pt idx="3">
                  <c:v>5.2130034429170719E-3</c:v>
                </c:pt>
                <c:pt idx="4">
                  <c:v>4.8797630818343549E-3</c:v>
                </c:pt>
                <c:pt idx="5">
                  <c:v>5.6729508630347127E-3</c:v>
                </c:pt>
                <c:pt idx="6">
                  <c:v>5.2713623061134782E-3</c:v>
                </c:pt>
                <c:pt idx="7">
                  <c:v>9.0661908429018733E-3</c:v>
                </c:pt>
                <c:pt idx="8">
                  <c:v>6.3738738984695552E-3</c:v>
                </c:pt>
                <c:pt idx="9">
                  <c:v>5.6880580444659077E-3</c:v>
                </c:pt>
              </c:numCache>
            </c:numRef>
          </c:val>
          <c:extLst>
            <c:ext xmlns:c16="http://schemas.microsoft.com/office/drawing/2014/chart" uri="{C3380CC4-5D6E-409C-BE32-E72D297353CC}">
              <c16:uniqueId val="{0000000A-98C2-4476-8E29-03B615416107}"/>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'WOS nephrops under 250kW'!$B$162</c:f>
              <c:strCache>
                <c:ptCount val="1"/>
                <c:pt idx="0">
                  <c:v>Nephrops</c:v>
                </c:pt>
              </c:strCache>
            </c:strRef>
          </c:tx>
          <c:spPr>
            <a:solidFill>
              <a:srgbClr val="2273B9"/>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250kW'!$C$162:$E$162</c:f>
              <c:numCache>
                <c:formatCode>0%</c:formatCode>
                <c:ptCount val="3"/>
                <c:pt idx="0">
                  <c:v>0.38366191887908813</c:v>
                </c:pt>
                <c:pt idx="1">
                  <c:v>0.9336353805791664</c:v>
                </c:pt>
                <c:pt idx="2">
                  <c:v>0.76880716832168505</c:v>
                </c:pt>
              </c:numCache>
            </c:numRef>
          </c:val>
          <c:extLst>
            <c:ext xmlns:c16="http://schemas.microsoft.com/office/drawing/2014/chart" uri="{C3380CC4-5D6E-409C-BE32-E72D297353CC}">
              <c16:uniqueId val="{00000000-F556-41F6-8298-BAC5C359EDBD}"/>
            </c:ext>
          </c:extLst>
        </c:ser>
        <c:ser>
          <c:idx val="1"/>
          <c:order val="1"/>
          <c:tx>
            <c:strRef>
              <c:f>'WOS nephrops under 250kW'!$B$163</c:f>
              <c:strCache>
                <c:ptCount val="1"/>
                <c:pt idx="0">
                  <c:v>Scallops</c:v>
                </c:pt>
              </c:strCache>
            </c:strRef>
          </c:tx>
          <c:spPr>
            <a:solidFill>
              <a:srgbClr val="648C2E"/>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250kW'!$C$163:$E$163</c:f>
              <c:numCache>
                <c:formatCode>0%</c:formatCode>
                <c:ptCount val="3"/>
                <c:pt idx="0">
                  <c:v>5.4093119838384152E-3</c:v>
                </c:pt>
                <c:pt idx="1">
                  <c:v>2.8830690524638759E-2</c:v>
                </c:pt>
                <c:pt idx="2">
                  <c:v>2.1301024773004953E-2</c:v>
                </c:pt>
              </c:numCache>
            </c:numRef>
          </c:val>
          <c:extLst>
            <c:ext xmlns:c16="http://schemas.microsoft.com/office/drawing/2014/chart" uri="{C3380CC4-5D6E-409C-BE32-E72D297353CC}">
              <c16:uniqueId val="{00000001-F556-41F6-8298-BAC5C359EDBD}"/>
            </c:ext>
          </c:extLst>
        </c:ser>
        <c:ser>
          <c:idx val="2"/>
          <c:order val="2"/>
          <c:tx>
            <c:strRef>
              <c:f>'WOS nephrops under 250kW'!$B$164</c:f>
              <c:strCache>
                <c:ptCount val="1"/>
                <c:pt idx="0">
                  <c:v>Squid</c:v>
                </c:pt>
              </c:strCache>
            </c:strRef>
          </c:tx>
          <c:spPr>
            <a:solidFill>
              <a:srgbClr val="E87308"/>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250kW'!$C$164:$E$164</c:f>
              <c:numCache>
                <c:formatCode>0%</c:formatCode>
                <c:ptCount val="3"/>
                <c:pt idx="0">
                  <c:v>0</c:v>
                </c:pt>
                <c:pt idx="1">
                  <c:v>1.9697585821078428E-2</c:v>
                </c:pt>
                <c:pt idx="2">
                  <c:v>0</c:v>
                </c:pt>
              </c:numCache>
            </c:numRef>
          </c:val>
          <c:extLst>
            <c:ext xmlns:c16="http://schemas.microsoft.com/office/drawing/2014/chart" uri="{C3380CC4-5D6E-409C-BE32-E72D297353CC}">
              <c16:uniqueId val="{00000002-F556-41F6-8298-BAC5C359EDBD}"/>
            </c:ext>
          </c:extLst>
        </c:ser>
        <c:ser>
          <c:idx val="3"/>
          <c:order val="3"/>
          <c:tx>
            <c:strRef>
              <c:f>'WOS nephrops under 250kW'!$B$165</c:f>
              <c:strCache>
                <c:ptCount val="1"/>
                <c:pt idx="0">
                  <c:v>Brown Crab</c:v>
                </c:pt>
              </c:strCache>
            </c:strRef>
          </c:tx>
          <c:spPr>
            <a:solidFill>
              <a:srgbClr val="C1D119"/>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250kW'!$C$165:$E$165</c:f>
              <c:numCache>
                <c:formatCode>0%</c:formatCode>
                <c:ptCount val="3"/>
                <c:pt idx="0">
                  <c:v>0</c:v>
                </c:pt>
                <c:pt idx="1">
                  <c:v>7.891307002114583E-3</c:v>
                </c:pt>
                <c:pt idx="2">
                  <c:v>0</c:v>
                </c:pt>
              </c:numCache>
            </c:numRef>
          </c:val>
          <c:extLst>
            <c:ext xmlns:c16="http://schemas.microsoft.com/office/drawing/2014/chart" uri="{C3380CC4-5D6E-409C-BE32-E72D297353CC}">
              <c16:uniqueId val="{00000003-F556-41F6-8298-BAC5C359EDBD}"/>
            </c:ext>
          </c:extLst>
        </c:ser>
        <c:ser>
          <c:idx val="4"/>
          <c:order val="4"/>
          <c:tx>
            <c:strRef>
              <c:f>'WOS nephrops under 250kW'!$B$166</c:f>
              <c:strCache>
                <c:ptCount val="1"/>
                <c:pt idx="0">
                  <c:v>Haddock</c:v>
                </c:pt>
              </c:strCache>
            </c:strRef>
          </c:tx>
          <c:spPr>
            <a:solidFill>
              <a:srgbClr val="0F9AA9"/>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250kW'!$C$166:$E$166</c:f>
              <c:numCache>
                <c:formatCode>0%</c:formatCode>
                <c:ptCount val="3"/>
                <c:pt idx="0">
                  <c:v>1.0409292378553143E-3</c:v>
                </c:pt>
                <c:pt idx="1">
                  <c:v>3.6657727229304953E-3</c:v>
                </c:pt>
                <c:pt idx="2">
                  <c:v>4.7512716791217697E-3</c:v>
                </c:pt>
              </c:numCache>
            </c:numRef>
          </c:val>
          <c:extLst>
            <c:ext xmlns:c16="http://schemas.microsoft.com/office/drawing/2014/chart" uri="{C3380CC4-5D6E-409C-BE32-E72D297353CC}">
              <c16:uniqueId val="{00000004-F556-41F6-8298-BAC5C359EDBD}"/>
            </c:ext>
          </c:extLst>
        </c:ser>
        <c:ser>
          <c:idx val="5"/>
          <c:order val="5"/>
          <c:tx>
            <c:strRef>
              <c:f>'WOS nephrops under 250kW'!$B$167</c:f>
              <c:strCache>
                <c:ptCount val="1"/>
                <c:pt idx="0">
                  <c:v>Thornback Ray</c:v>
                </c:pt>
              </c:strCache>
            </c:strRef>
          </c:tx>
          <c:spPr>
            <a:solidFill>
              <a:srgbClr val="FED825"/>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250kW'!$C$167:$E$167</c:f>
              <c:numCache>
                <c:formatCode>0%</c:formatCode>
                <c:ptCount val="3"/>
                <c:pt idx="0">
                  <c:v>2.2184794615320862E-3</c:v>
                </c:pt>
                <c:pt idx="1">
                  <c:v>0</c:v>
                </c:pt>
                <c:pt idx="2">
                  <c:v>5.1642886430889124E-3</c:v>
                </c:pt>
              </c:numCache>
            </c:numRef>
          </c:val>
          <c:extLst>
            <c:ext xmlns:c16="http://schemas.microsoft.com/office/drawing/2014/chart" uri="{C3380CC4-5D6E-409C-BE32-E72D297353CC}">
              <c16:uniqueId val="{00000005-F556-41F6-8298-BAC5C359EDBD}"/>
            </c:ext>
          </c:extLst>
        </c:ser>
        <c:ser>
          <c:idx val="6"/>
          <c:order val="6"/>
          <c:tx>
            <c:strRef>
              <c:f>'WOS nephrops under 250kW'!$B$168</c:f>
              <c:strCache>
                <c:ptCount val="1"/>
                <c:pt idx="0">
                  <c:v>Anglerfish</c:v>
                </c:pt>
              </c:strCache>
            </c:strRef>
          </c:tx>
          <c:spPr>
            <a:solidFill>
              <a:srgbClr val="E84A38"/>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250kW'!$C$168:$E$168</c:f>
              <c:numCache>
                <c:formatCode>0%</c:formatCode>
                <c:ptCount val="3"/>
                <c:pt idx="0">
                  <c:v>1.2883794077311324E-3</c:v>
                </c:pt>
                <c:pt idx="1">
                  <c:v>0</c:v>
                </c:pt>
                <c:pt idx="2">
                  <c:v>4.7696021606856934E-3</c:v>
                </c:pt>
              </c:numCache>
            </c:numRef>
          </c:val>
          <c:extLst>
            <c:ext xmlns:c16="http://schemas.microsoft.com/office/drawing/2014/chart" uri="{C3380CC4-5D6E-409C-BE32-E72D297353CC}">
              <c16:uniqueId val="{00000006-F556-41F6-8298-BAC5C359EDBD}"/>
            </c:ext>
          </c:extLst>
        </c:ser>
        <c:ser>
          <c:idx val="7"/>
          <c:order val="7"/>
          <c:tx>
            <c:strRef>
              <c:f>'WOS nephrops under 250kW'!$B$169</c:f>
              <c:strCache>
                <c:ptCount val="1"/>
                <c:pt idx="0">
                  <c:v>Others</c:v>
                </c:pt>
              </c:strCache>
            </c:strRef>
          </c:tx>
          <c:spPr>
            <a:solidFill>
              <a:srgbClr val="55585A"/>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250kW'!$C$169:$E$169</c:f>
              <c:numCache>
                <c:formatCode>0%</c:formatCode>
                <c:ptCount val="3"/>
                <c:pt idx="0">
                  <c:v>0.60638098102995497</c:v>
                </c:pt>
                <c:pt idx="1">
                  <c:v>6.2792633500714512E-3</c:v>
                </c:pt>
                <c:pt idx="2">
                  <c:v>0.19520664442241353</c:v>
                </c:pt>
              </c:numCache>
            </c:numRef>
          </c:val>
          <c:extLst>
            <c:ext xmlns:c16="http://schemas.microsoft.com/office/drawing/2014/chart" uri="{C3380CC4-5D6E-409C-BE32-E72D297353CC}">
              <c16:uniqueId val="{00000007-F556-41F6-8298-BAC5C359EDBD}"/>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'WOS nephrops under 250kW'!$H$162</c:f>
              <c:strCache>
                <c:ptCount val="1"/>
                <c:pt idx="0">
                  <c:v>Nephrops</c:v>
                </c:pt>
              </c:strCache>
            </c:strRef>
          </c:tx>
          <c:spPr>
            <a:solidFill>
              <a:srgbClr val="2273B9"/>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250kW'!$I$162:$K$162</c:f>
              <c:numCache>
                <c:formatCode>0%</c:formatCode>
                <c:ptCount val="3"/>
                <c:pt idx="0">
                  <c:v>0.29889418154250702</c:v>
                </c:pt>
                <c:pt idx="1">
                  <c:v>0.91138851777016439</c:v>
                </c:pt>
                <c:pt idx="2">
                  <c:v>0.595981860500849</c:v>
                </c:pt>
              </c:numCache>
            </c:numRef>
          </c:val>
          <c:extLst>
            <c:ext xmlns:c16="http://schemas.microsoft.com/office/drawing/2014/chart" uri="{C3380CC4-5D6E-409C-BE32-E72D297353CC}">
              <c16:uniqueId val="{00000000-980B-47BE-86B0-89411FB1833C}"/>
            </c:ext>
          </c:extLst>
        </c:ser>
        <c:ser>
          <c:idx val="1"/>
          <c:order val="1"/>
          <c:tx>
            <c:strRef>
              <c:f>'WOS nephrops under 250kW'!$H$163</c:f>
              <c:strCache>
                <c:ptCount val="1"/>
                <c:pt idx="0">
                  <c:v>Squid</c:v>
                </c:pt>
              </c:strCache>
            </c:strRef>
          </c:tx>
          <c:spPr>
            <a:solidFill>
              <a:srgbClr val="E87308"/>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250kW'!$I$163:$K$163</c:f>
              <c:numCache>
                <c:formatCode>0%</c:formatCode>
                <c:ptCount val="3"/>
                <c:pt idx="0">
                  <c:v>0</c:v>
                </c:pt>
                <c:pt idx="1">
                  <c:v>4.6364882567343654E-2</c:v>
                </c:pt>
                <c:pt idx="2">
                  <c:v>0</c:v>
                </c:pt>
              </c:numCache>
            </c:numRef>
          </c:val>
          <c:extLst>
            <c:ext xmlns:c16="http://schemas.microsoft.com/office/drawing/2014/chart" uri="{C3380CC4-5D6E-409C-BE32-E72D297353CC}">
              <c16:uniqueId val="{00000001-980B-47BE-86B0-89411FB1833C}"/>
            </c:ext>
          </c:extLst>
        </c:ser>
        <c:ser>
          <c:idx val="2"/>
          <c:order val="2"/>
          <c:tx>
            <c:strRef>
              <c:f>'WOS nephrops under 250kW'!$H$164</c:f>
              <c:strCache>
                <c:ptCount val="1"/>
                <c:pt idx="0">
                  <c:v>Scallops</c:v>
                </c:pt>
              </c:strCache>
            </c:strRef>
          </c:tx>
          <c:spPr>
            <a:solidFill>
              <a:srgbClr val="648C2E"/>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250kW'!$I$164:$K$164</c:f>
              <c:numCache>
                <c:formatCode>0%</c:formatCode>
                <c:ptCount val="3"/>
                <c:pt idx="0">
                  <c:v>4.3229484724111268E-3</c:v>
                </c:pt>
                <c:pt idx="1">
                  <c:v>2.9163087281019233E-2</c:v>
                </c:pt>
                <c:pt idx="2">
                  <c:v>1.878590652192038E-2</c:v>
                </c:pt>
              </c:numCache>
            </c:numRef>
          </c:val>
          <c:extLst>
            <c:ext xmlns:c16="http://schemas.microsoft.com/office/drawing/2014/chart" uri="{C3380CC4-5D6E-409C-BE32-E72D297353CC}">
              <c16:uniqueId val="{00000002-980B-47BE-86B0-89411FB1833C}"/>
            </c:ext>
          </c:extLst>
        </c:ser>
        <c:ser>
          <c:idx val="3"/>
          <c:order val="3"/>
          <c:tx>
            <c:strRef>
              <c:f>'WOS nephrops under 250kW'!$H$165</c:f>
              <c:strCache>
                <c:ptCount val="1"/>
                <c:pt idx="0">
                  <c:v>Brown Crab</c:v>
                </c:pt>
              </c:strCache>
            </c:strRef>
          </c:tx>
          <c:spPr>
            <a:solidFill>
              <a:srgbClr val="C1D119"/>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250kW'!$I$165:$K$165</c:f>
              <c:numCache>
                <c:formatCode>0%</c:formatCode>
                <c:ptCount val="3"/>
                <c:pt idx="0">
                  <c:v>0</c:v>
                </c:pt>
                <c:pt idx="1">
                  <c:v>6.0779523184747745E-3</c:v>
                </c:pt>
                <c:pt idx="2">
                  <c:v>0</c:v>
                </c:pt>
              </c:numCache>
            </c:numRef>
          </c:val>
          <c:extLst>
            <c:ext xmlns:c16="http://schemas.microsoft.com/office/drawing/2014/chart" uri="{C3380CC4-5D6E-409C-BE32-E72D297353CC}">
              <c16:uniqueId val="{00000003-980B-47BE-86B0-89411FB1833C}"/>
            </c:ext>
          </c:extLst>
        </c:ser>
        <c:ser>
          <c:idx val="4"/>
          <c:order val="4"/>
          <c:tx>
            <c:strRef>
              <c:f>'WOS nephrops under 250kW'!$H$166</c:f>
              <c:strCache>
                <c:ptCount val="1"/>
                <c:pt idx="0">
                  <c:v>Anglerfish</c:v>
                </c:pt>
              </c:strCache>
            </c:strRef>
          </c:tx>
          <c:spPr>
            <a:solidFill>
              <a:srgbClr val="E84A38"/>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250kW'!$I$166:$K$166</c:f>
              <c:numCache>
                <c:formatCode>0%</c:formatCode>
                <c:ptCount val="3"/>
                <c:pt idx="0">
                  <c:v>7.9768922966178652E-4</c:v>
                </c:pt>
                <c:pt idx="1">
                  <c:v>2.7828057453454166E-3</c:v>
                </c:pt>
                <c:pt idx="2">
                  <c:v>3.295026675292567E-3</c:v>
                </c:pt>
              </c:numCache>
            </c:numRef>
          </c:val>
          <c:extLst>
            <c:ext xmlns:c16="http://schemas.microsoft.com/office/drawing/2014/chart" uri="{C3380CC4-5D6E-409C-BE32-E72D297353CC}">
              <c16:uniqueId val="{00000004-980B-47BE-86B0-89411FB1833C}"/>
            </c:ext>
          </c:extLst>
        </c:ser>
        <c:ser>
          <c:idx val="5"/>
          <c:order val="5"/>
          <c:tx>
            <c:strRef>
              <c:f>'WOS nephrops under 250kW'!$H$167</c:f>
              <c:strCache>
                <c:ptCount val="1"/>
                <c:pt idx="0">
                  <c:v>Common Prawns</c:v>
                </c:pt>
              </c:strCache>
            </c:strRef>
          </c:tx>
          <c:spPr>
            <a:solidFill>
              <a:srgbClr val="707271"/>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250kW'!$I$167:$K$167</c:f>
              <c:numCache>
                <c:formatCode>0%</c:formatCode>
                <c:ptCount val="3"/>
                <c:pt idx="0">
                  <c:v>0</c:v>
                </c:pt>
                <c:pt idx="1">
                  <c:v>0</c:v>
                </c:pt>
                <c:pt idx="2">
                  <c:v>3.5615679327361247E-3</c:v>
                </c:pt>
              </c:numCache>
            </c:numRef>
          </c:val>
          <c:extLst>
            <c:ext xmlns:c16="http://schemas.microsoft.com/office/drawing/2014/chart" uri="{C3380CC4-5D6E-409C-BE32-E72D297353CC}">
              <c16:uniqueId val="{00000005-980B-47BE-86B0-89411FB1833C}"/>
            </c:ext>
          </c:extLst>
        </c:ser>
        <c:ser>
          <c:idx val="6"/>
          <c:order val="6"/>
          <c:tx>
            <c:strRef>
              <c:f>'WOS nephrops under 250kW'!$H$168</c:f>
              <c:strCache>
                <c:ptCount val="1"/>
                <c:pt idx="0">
                  <c:v>Haddock</c:v>
                </c:pt>
              </c:strCache>
            </c:strRef>
          </c:tx>
          <c:spPr>
            <a:solidFill>
              <a:srgbClr val="0F9AA9"/>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250kW'!$I$168:$K$168</c:f>
              <c:numCache>
                <c:formatCode>0%</c:formatCode>
                <c:ptCount val="3"/>
                <c:pt idx="0">
                  <c:v>3.9399362695155218E-4</c:v>
                </c:pt>
                <c:pt idx="1">
                  <c:v>0</c:v>
                </c:pt>
                <c:pt idx="2">
                  <c:v>1.9072265490408644E-3</c:v>
                </c:pt>
              </c:numCache>
            </c:numRef>
          </c:val>
          <c:extLst>
            <c:ext xmlns:c16="http://schemas.microsoft.com/office/drawing/2014/chart" uri="{C3380CC4-5D6E-409C-BE32-E72D297353CC}">
              <c16:uniqueId val="{00000006-980B-47BE-86B0-89411FB1833C}"/>
            </c:ext>
          </c:extLst>
        </c:ser>
        <c:ser>
          <c:idx val="7"/>
          <c:order val="7"/>
          <c:tx>
            <c:strRef>
              <c:f>'WOS nephrops under 250kW'!$H$169</c:f>
              <c:strCache>
                <c:ptCount val="1"/>
                <c:pt idx="0">
                  <c:v>Thornback Ray</c:v>
                </c:pt>
              </c:strCache>
            </c:strRef>
          </c:tx>
          <c:spPr>
            <a:solidFill>
              <a:srgbClr val="FED825"/>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250kW'!$I$169:$K$169</c:f>
              <c:numCache>
                <c:formatCode>0%</c:formatCode>
                <c:ptCount val="3"/>
                <c:pt idx="0">
                  <c:v>5.6695692209974603E-4</c:v>
                </c:pt>
                <c:pt idx="1">
                  <c:v>0</c:v>
                </c:pt>
                <c:pt idx="2">
                  <c:v>0</c:v>
                </c:pt>
              </c:numCache>
            </c:numRef>
          </c:val>
          <c:extLst>
            <c:ext xmlns:c16="http://schemas.microsoft.com/office/drawing/2014/chart" uri="{C3380CC4-5D6E-409C-BE32-E72D297353CC}">
              <c16:uniqueId val="{00000007-980B-47BE-86B0-89411FB1833C}"/>
            </c:ext>
          </c:extLst>
        </c:ser>
        <c:ser>
          <c:idx val="8"/>
          <c:order val="8"/>
          <c:tx>
            <c:strRef>
              <c:f>'WOS nephrops under 250kW'!$H$170</c:f>
              <c:strCache>
                <c:ptCount val="1"/>
                <c:pt idx="0">
                  <c:v>Others</c:v>
                </c:pt>
              </c:strCache>
            </c:strRef>
          </c:tx>
          <c:spPr>
            <a:solidFill>
              <a:srgbClr val="55585A"/>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250kW'!$I$170:$K$170</c:f>
              <c:numCache>
                <c:formatCode>0%</c:formatCode>
                <c:ptCount val="3"/>
                <c:pt idx="0">
                  <c:v>0.69502423020636883</c:v>
                </c:pt>
                <c:pt idx="1">
                  <c:v>4.2227543176526217E-3</c:v>
                </c:pt>
                <c:pt idx="2">
                  <c:v>0.37646841182016111</c:v>
                </c:pt>
              </c:numCache>
            </c:numRef>
          </c:val>
          <c:extLst>
            <c:ext xmlns:c16="http://schemas.microsoft.com/office/drawing/2014/chart" uri="{C3380CC4-5D6E-409C-BE32-E72D297353CC}">
              <c16:uniqueId val="{00000008-980B-47BE-86B0-89411FB1833C}"/>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'Area VIIa nephrops u250kW'!$K$139</c:f>
              <c:strCache>
                <c:ptCount val="1"/>
                <c:pt idx="0">
                  <c:v>Total income</c:v>
                </c:pt>
              </c:strCache>
            </c:strRef>
          </c:tx>
          <c:spPr>
            <a:solidFill>
              <a:srgbClr val="087CBB"/>
            </a:solidFill>
            <a:ln>
              <a:solidFill>
                <a:schemeClr val="accent1"/>
              </a:solidFill>
            </a:ln>
          </c:spPr>
          <c:invertIfNegative val="0"/>
          <c:cat>
            <c:strRef>
              <c:f>'Area VIIa nephrops u250kW'!$L$138:$N$138</c:f>
              <c:strCache>
                <c:ptCount val="3"/>
                <c:pt idx="0">
                  <c:v>Most
profitable
quartile</c:v>
                </c:pt>
                <c:pt idx="1">
                  <c:v>Middle
two quartiles</c:v>
                </c:pt>
                <c:pt idx="2">
                  <c:v>Least
profitable
quartile</c:v>
                </c:pt>
              </c:strCache>
            </c:strRef>
          </c:cat>
          <c:val>
            <c:numRef>
              <c:f>'Area VIIa nephrops u250kW'!$L$139:$N$139</c:f>
              <c:numCache>
                <c:formatCode>#,##0</c:formatCode>
                <c:ptCount val="3"/>
                <c:pt idx="0">
                  <c:v>259.41579687500001</c:v>
                </c:pt>
                <c:pt idx="1">
                  <c:v>169.84785937500001</c:v>
                </c:pt>
                <c:pt idx="2">
                  <c:v>147.35007812500001</c:v>
                </c:pt>
              </c:numCache>
            </c:numRef>
          </c:val>
          <c:extLst>
            <c:ext xmlns:c16="http://schemas.microsoft.com/office/drawing/2014/chart" uri="{C3380CC4-5D6E-409C-BE32-E72D297353CC}">
              <c16:uniqueId val="{00000000-333E-475E-A8E8-2EC8CE8834C1}"/>
            </c:ext>
          </c:extLst>
        </c:ser>
        <c:ser>
          <c:idx val="1"/>
          <c:order val="1"/>
          <c:tx>
            <c:strRef>
              <c:f>'Area VIIa nephrops u250kW'!$K$140</c:f>
              <c:strCache>
                <c:ptCount val="1"/>
                <c:pt idx="0">
                  <c:v>Operating costs</c:v>
                </c:pt>
              </c:strCache>
            </c:strRef>
          </c:tx>
          <c:spPr>
            <a:solidFill>
              <a:srgbClr val="E87308"/>
            </a:solidFill>
          </c:spPr>
          <c:invertIfNegative val="0"/>
          <c:cat>
            <c:strRef>
              <c:f>'Area VIIa nephrops u250kW'!$L$138:$N$138</c:f>
              <c:strCache>
                <c:ptCount val="3"/>
                <c:pt idx="0">
                  <c:v>Most
profitable
quartile</c:v>
                </c:pt>
                <c:pt idx="1">
                  <c:v>Middle
two quartiles</c:v>
                </c:pt>
                <c:pt idx="2">
                  <c:v>Least
profitable
quartile</c:v>
                </c:pt>
              </c:strCache>
            </c:strRef>
          </c:cat>
          <c:val>
            <c:numRef>
              <c:f>'Area VIIa nephrops u250kW'!$L$140:$N$140</c:f>
              <c:numCache>
                <c:formatCode>#,##0</c:formatCode>
                <c:ptCount val="3"/>
                <c:pt idx="0">
                  <c:v>204.52025</c:v>
                </c:pt>
                <c:pt idx="1">
                  <c:v>143.277484375</c:v>
                </c:pt>
                <c:pt idx="2">
                  <c:v>131.93223437500001</c:v>
                </c:pt>
              </c:numCache>
            </c:numRef>
          </c:val>
          <c:extLst>
            <c:ext xmlns:c16="http://schemas.microsoft.com/office/drawing/2014/chart" uri="{C3380CC4-5D6E-409C-BE32-E72D297353CC}">
              <c16:uniqueId val="{00000001-333E-475E-A8E8-2EC8CE8834C1}"/>
            </c:ext>
          </c:extLst>
        </c:ser>
        <c:ser>
          <c:idx val="2"/>
          <c:order val="2"/>
          <c:tx>
            <c:strRef>
              <c:f>'Area VIIa nephrops u250kW'!$K$141</c:f>
              <c:strCache>
                <c:ptCount val="1"/>
                <c:pt idx="0">
                  <c:v>Operating profit</c:v>
                </c:pt>
              </c:strCache>
            </c:strRef>
          </c:tx>
          <c:spPr>
            <a:solidFill>
              <a:srgbClr val="51AA81"/>
            </a:solidFill>
          </c:spPr>
          <c:invertIfNegative val="0"/>
          <c:cat>
            <c:strRef>
              <c:f>'Area VIIa nephrops u250kW'!$L$138:$N$138</c:f>
              <c:strCache>
                <c:ptCount val="3"/>
                <c:pt idx="0">
                  <c:v>Most
profitable
quartile</c:v>
                </c:pt>
                <c:pt idx="1">
                  <c:v>Middle
two quartiles</c:v>
                </c:pt>
                <c:pt idx="2">
                  <c:v>Least
profitable
quartile</c:v>
                </c:pt>
              </c:strCache>
            </c:strRef>
          </c:cat>
          <c:val>
            <c:numRef>
              <c:f>'Area VIIa nephrops u250kW'!$L$141:$N$141</c:f>
              <c:numCache>
                <c:formatCode>#,##0</c:formatCode>
                <c:ptCount val="3"/>
                <c:pt idx="0">
                  <c:v>54.895546875000001</c:v>
                </c:pt>
                <c:pt idx="1">
                  <c:v>26.570374999999999</c:v>
                </c:pt>
                <c:pt idx="2">
                  <c:v>15.417843749999999</c:v>
                </c:pt>
              </c:numCache>
            </c:numRef>
          </c:val>
          <c:extLst>
            <c:ext xmlns:c16="http://schemas.microsoft.com/office/drawing/2014/chart" uri="{C3380CC4-5D6E-409C-BE32-E72D297353CC}">
              <c16:uniqueId val="{00000002-333E-475E-A8E8-2EC8CE8834C1}"/>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'Area VIIa nephrops u250kW'!$K$142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'WOS nephrops under 250kW'!$K$139</c:f>
              <c:strCache>
                <c:ptCount val="1"/>
                <c:pt idx="0">
                  <c:v>Total income</c:v>
                </c:pt>
              </c:strCache>
            </c:strRef>
          </c:tx>
          <c:spPr>
            <a:solidFill>
              <a:srgbClr val="087CBB"/>
            </a:solidFill>
            <a:ln>
              <a:solidFill>
                <a:schemeClr val="accent1"/>
              </a:solidFill>
            </a:ln>
          </c:spPr>
          <c:invertIfNegative val="0"/>
          <c:cat>
            <c:strRef>
              <c:f>'WOS nephrops under 250kW'!$L$138:$N$138</c:f>
              <c:strCache>
                <c:ptCount val="3"/>
                <c:pt idx="0">
                  <c:v>Most
profitable
quartile</c:v>
                </c:pt>
                <c:pt idx="1">
                  <c:v>Middle
two quartiles</c:v>
                </c:pt>
                <c:pt idx="2">
                  <c:v>Least
profitable
quartile</c:v>
                </c:pt>
              </c:strCache>
            </c:strRef>
          </c:cat>
          <c:val>
            <c:numRef>
              <c:f>'WOS nephrops under 250kW'!$L$139:$N$139</c:f>
              <c:numCache>
                <c:formatCode>#,##0</c:formatCode>
                <c:ptCount val="3"/>
                <c:pt idx="0">
                  <c:v>266.26534375</c:v>
                </c:pt>
                <c:pt idx="1">
                  <c:v>230.05408593749999</c:v>
                </c:pt>
                <c:pt idx="2">
                  <c:v>130.05750781250001</c:v>
                </c:pt>
              </c:numCache>
            </c:numRef>
          </c:val>
          <c:extLst>
            <c:ext xmlns:c16="http://schemas.microsoft.com/office/drawing/2014/chart" uri="{C3380CC4-5D6E-409C-BE32-E72D297353CC}">
              <c16:uniqueId val="{00000000-DB10-4872-8B40-33ABFB0ED674}"/>
            </c:ext>
          </c:extLst>
        </c:ser>
        <c:ser>
          <c:idx val="1"/>
          <c:order val="1"/>
          <c:tx>
            <c:strRef>
              <c:f>'WOS nephrops under 250kW'!$K$140</c:f>
              <c:strCache>
                <c:ptCount val="1"/>
                <c:pt idx="0">
                  <c:v>Operating costs</c:v>
                </c:pt>
              </c:strCache>
            </c:strRef>
          </c:tx>
          <c:spPr>
            <a:solidFill>
              <a:srgbClr val="E87308"/>
            </a:solidFill>
          </c:spPr>
          <c:invertIfNegative val="0"/>
          <c:cat>
            <c:strRef>
              <c:f>'WOS nephrops under 250kW'!$L$138:$N$138</c:f>
              <c:strCache>
                <c:ptCount val="3"/>
                <c:pt idx="0">
                  <c:v>Most
profitable
quartile</c:v>
                </c:pt>
                <c:pt idx="1">
                  <c:v>Middle
two quartiles</c:v>
                </c:pt>
                <c:pt idx="2">
                  <c:v>Least
profitable
quartile</c:v>
                </c:pt>
              </c:strCache>
            </c:strRef>
          </c:cat>
          <c:val>
            <c:numRef>
              <c:f>'WOS nephrops under 250kW'!$L$140:$N$140</c:f>
              <c:numCache>
                <c:formatCode>#,##0</c:formatCode>
                <c:ptCount val="3"/>
                <c:pt idx="0">
                  <c:v>217.74754687500001</c:v>
                </c:pt>
                <c:pt idx="1">
                  <c:v>200.62572656250001</c:v>
                </c:pt>
                <c:pt idx="2">
                  <c:v>129.28916406249999</c:v>
                </c:pt>
              </c:numCache>
            </c:numRef>
          </c:val>
          <c:extLst>
            <c:ext xmlns:c16="http://schemas.microsoft.com/office/drawing/2014/chart" uri="{C3380CC4-5D6E-409C-BE32-E72D297353CC}">
              <c16:uniqueId val="{00000001-DB10-4872-8B40-33ABFB0ED674}"/>
            </c:ext>
          </c:extLst>
        </c:ser>
        <c:ser>
          <c:idx val="2"/>
          <c:order val="2"/>
          <c:tx>
            <c:strRef>
              <c:f>'WOS nephrops under 250kW'!$K$141</c:f>
              <c:strCache>
                <c:ptCount val="1"/>
                <c:pt idx="0">
                  <c:v>Operating profit</c:v>
                </c:pt>
              </c:strCache>
            </c:strRef>
          </c:tx>
          <c:spPr>
            <a:solidFill>
              <a:srgbClr val="51AA81"/>
            </a:solidFill>
          </c:spPr>
          <c:invertIfNegative val="0"/>
          <c:cat>
            <c:strRef>
              <c:f>'WOS nephrops under 250kW'!$L$138:$N$138</c:f>
              <c:strCache>
                <c:ptCount val="3"/>
                <c:pt idx="0">
                  <c:v>Most
profitable
quartile</c:v>
                </c:pt>
                <c:pt idx="1">
                  <c:v>Middle
two quartiles</c:v>
                </c:pt>
                <c:pt idx="2">
                  <c:v>Least
profitable
quartile</c:v>
                </c:pt>
              </c:strCache>
            </c:strRef>
          </c:cat>
          <c:val>
            <c:numRef>
              <c:f>'WOS nephrops under 250kW'!$L$141:$N$141</c:f>
              <c:numCache>
                <c:formatCode>#,##0</c:formatCode>
                <c:ptCount val="3"/>
                <c:pt idx="0">
                  <c:v>48.517796875000002</c:v>
                </c:pt>
                <c:pt idx="1">
                  <c:v>29.428359374999999</c:v>
                </c:pt>
                <c:pt idx="2">
                  <c:v>0.76834374999999999</c:v>
                </c:pt>
              </c:numCache>
            </c:numRef>
          </c:val>
          <c:extLst>
            <c:ext xmlns:c16="http://schemas.microsoft.com/office/drawing/2014/chart" uri="{C3380CC4-5D6E-409C-BE32-E72D297353CC}">
              <c16:uniqueId val="{00000002-DB10-4872-8B40-33ABFB0ED674}"/>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'WOS nephrops under 250kW'!$K$142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24-40m'!$A$48</c:f>
          <c:strCache>
            <c:ptCount val="1"/>
            <c:pt idx="0">
              <c:v>Landings per kW day at sea (kg)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7E35-4E72-B8C0-79C91F10A843}"/>
              </c:ext>
            </c:extLst>
          </c:dPt>
          <c:dPt>
            <c:idx val="10"/>
            <c:bubble3D val="0"/>
            <c:spPr>
              <a:ln w="57150">
                <a:solidFill>
                  <a:srgbClr val="2273B9"/>
                </a:solidFill>
                <a:prstDash val="sysDot"/>
              </a:ln>
            </c:spPr>
            <c:extLst>
              <c:ext xmlns:c16="http://schemas.microsoft.com/office/drawing/2014/chart" uri="{C3380CC4-5D6E-409C-BE32-E72D297353CC}">
                <c16:uniqueId val="{00000003-7E35-4E72-B8C0-79C91F10A843}"/>
              </c:ext>
            </c:extLst>
          </c:dPt>
          <c:cat>
            <c:numRef>
              <c:f>'Area VIIb-k trawlers 24-40m'!$D$2:$N$2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'Area VIIb-k trawlers 24-40m'!$D$21:$N$21</c:f>
              <c:numCache>
                <c:formatCode>#,##0.00</c:formatCode>
                <c:ptCount val="11"/>
                <c:pt idx="0">
                  <c:v>2.9151586121683546</c:v>
                </c:pt>
                <c:pt idx="1">
                  <c:v>3.4286569454809737</c:v>
                </c:pt>
                <c:pt idx="2">
                  <c:v>3.5406512618856607</c:v>
                </c:pt>
                <c:pt idx="3">
                  <c:v>3.6766564581479142</c:v>
                </c:pt>
                <c:pt idx="4">
                  <c:v>3.5715711831750334</c:v>
                </c:pt>
                <c:pt idx="5">
                  <c:v>3.191630936465613</c:v>
                </c:pt>
                <c:pt idx="6">
                  <c:v>3.2423602281530273</c:v>
                </c:pt>
                <c:pt idx="7">
                  <c:v>3.2534662370544849</c:v>
                </c:pt>
                <c:pt idx="8">
                  <c:v>3.287018245050878</c:v>
                </c:pt>
                <c:pt idx="9">
                  <c:v>3.1362995361500929</c:v>
                </c:pt>
                <c:pt idx="10">
                  <c:v>3.1474165063749902</c:v>
                </c:pt>
              </c:numCache>
            </c:numRef>
          </c:val>
          <c:smooth val="0"/>
          <c:extLst>
            <c:ext xmlns:c16="http://schemas.microsoft.com/office/drawing/2014/chart" uri="{C3380CC4-5D6E-409C-BE32-E72D297353CC}">
              <c16:uniqueId val="{00000004-7E35-4E72-B8C0-79C91F10A843}"/>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24-40m'!$A$49</c:f>
          <c:strCache>
            <c:ptCount val="1"/>
            <c:pt idx="0">
              <c:v>Fishing income per kW day at sea (£)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264E-473A-AF86-6F9AEB057073}"/>
              </c:ext>
            </c:extLst>
          </c:dPt>
          <c:dPt>
            <c:idx val="10"/>
            <c:bubble3D val="0"/>
            <c:spPr>
              <a:ln w="57150">
                <a:solidFill>
                  <a:srgbClr val="648C2E"/>
                </a:solidFill>
                <a:prstDash val="sysDot"/>
              </a:ln>
            </c:spPr>
            <c:extLst>
              <c:ext xmlns:c16="http://schemas.microsoft.com/office/drawing/2014/chart" uri="{C3380CC4-5D6E-409C-BE32-E72D297353CC}">
                <c16:uniqueId val="{00000003-264E-473A-AF86-6F9AEB057073}"/>
              </c:ext>
            </c:extLst>
          </c:dPt>
          <c:cat>
            <c:numRef>
              <c:f>'Area VIIb-k trawlers 24-40m'!$D$2:$N$2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'Area VIIb-k trawlers 24-40m'!$D$22:$N$22</c:f>
              <c:numCache>
                <c:formatCode>#,##0.00</c:formatCode>
                <c:ptCount val="11"/>
                <c:pt idx="0">
                  <c:v>8.8283421561428899</c:v>
                </c:pt>
                <c:pt idx="1">
                  <c:v>10.450827568452301</c:v>
                </c:pt>
                <c:pt idx="2">
                  <c:v>10.154557807383201</c:v>
                </c:pt>
                <c:pt idx="3">
                  <c:v>11.472642186558</c:v>
                </c:pt>
                <c:pt idx="4">
                  <c:v>10.741634167034199</c:v>
                </c:pt>
                <c:pt idx="5">
                  <c:v>11.3200406547531</c:v>
                </c:pt>
                <c:pt idx="6">
                  <c:v>10.7663152610442</c:v>
                </c:pt>
                <c:pt idx="7">
                  <c:v>11.1137633838167</c:v>
                </c:pt>
                <c:pt idx="8">
                  <c:v>9.5801330595366796</c:v>
                </c:pt>
                <c:pt idx="9">
                  <c:v>7.7460043435579902</c:v>
                </c:pt>
                <c:pt idx="10">
                  <c:v>8.4124868600816587</c:v>
                </c:pt>
              </c:numCache>
            </c:numRef>
          </c:val>
          <c:smooth val="0"/>
          <c:extLst>
            <c:ext xmlns:c16="http://schemas.microsoft.com/office/drawing/2014/chart" uri="{C3380CC4-5D6E-409C-BE32-E72D297353CC}">
              <c16:uniqueId val="{00000004-264E-473A-AF86-6F9AEB057073}"/>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24-40m'!$B$62</c:f>
          <c:strCache>
            <c:ptCount val="1"/>
            <c:pt idx="0">
              <c:v>Total cost per kW day at sea (£)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B7CC-4C18-A433-695223A58AD0}"/>
              </c:ext>
            </c:extLst>
          </c:dPt>
          <c:dPt>
            <c:idx val="10"/>
            <c:bubble3D val="0"/>
            <c:spPr>
              <a:ln w="57150">
                <a:solidFill>
                  <a:srgbClr val="087CBB"/>
                </a:solidFill>
                <a:prstDash val="sysDot"/>
              </a:ln>
            </c:spPr>
            <c:extLst>
              <c:ext xmlns:c16="http://schemas.microsoft.com/office/drawing/2014/chart" uri="{C3380CC4-5D6E-409C-BE32-E72D297353CC}">
                <c16:uniqueId val="{00000003-B7CC-4C18-A433-695223A58AD0}"/>
              </c:ext>
            </c:extLst>
          </c:dPt>
          <c:cat>
            <c:numRef>
              <c:f>'Area VIIb-k trawlers 24-40m'!$D$2:$N$2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'Area VIIb-k trawlers 24-40m'!$D$23:$N$23</c:f>
              <c:numCache>
                <c:formatCode>#,##0.00</c:formatCode>
                <c:ptCount val="11"/>
                <c:pt idx="0">
                  <c:v>6.9692814792398003</c:v>
                </c:pt>
                <c:pt idx="1">
                  <c:v>10.563753583199199</c:v>
                </c:pt>
                <c:pt idx="2">
                  <c:v>10.2807752607283</c:v>
                </c:pt>
                <c:pt idx="3">
                  <c:v>11.369047934132</c:v>
                </c:pt>
                <c:pt idx="4">
                  <c:v>10.1087363073513</c:v>
                </c:pt>
                <c:pt idx="5">
                  <c:v>7.5912884939595902</c:v>
                </c:pt>
                <c:pt idx="6">
                  <c:v>10.1441660712338</c:v>
                </c:pt>
                <c:pt idx="7">
                  <c:v>10.7556744090233</c:v>
                </c:pt>
                <c:pt idx="8">
                  <c:v>8.9548575448673002</c:v>
                </c:pt>
                <c:pt idx="9">
                  <c:v>7.5732201649072604</c:v>
                </c:pt>
                <c:pt idx="10">
                  <c:v>8.2077332086922006</c:v>
                </c:pt>
              </c:numCache>
            </c:numRef>
          </c:val>
          <c:smooth val="0"/>
          <c:extLst>
            <c:ext xmlns:c16="http://schemas.microsoft.com/office/drawing/2014/chart" uri="{C3380CC4-5D6E-409C-BE32-E72D297353CC}">
              <c16:uniqueId val="{00000004-B7CC-4C18-A433-695223A58AD0}"/>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trawl'!$K$48</c:f>
          <c:strCache>
            <c:ptCount val="1"/>
            <c:pt idx="0">
              <c:v>Operating profit per kW day at sea (£)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A457-4B0F-9A44-FB3E27ABDA36}"/>
              </c:ext>
            </c:extLst>
          </c:dPt>
          <c:dPt>
            <c:idx val="10"/>
            <c:bubble3D val="0"/>
            <c:spPr>
              <a:ln w="57150">
                <a:solidFill>
                  <a:schemeClr val="accent3"/>
                </a:solidFill>
                <a:prstDash val="sysDot"/>
              </a:ln>
            </c:spPr>
            <c:extLst>
              <c:ext xmlns:c16="http://schemas.microsoft.com/office/drawing/2014/chart" uri="{C3380CC4-5D6E-409C-BE32-E72D297353CC}">
                <c16:uniqueId val="{00000003-A457-4B0F-9A44-FB3E27ABDA36}"/>
              </c:ext>
            </c:extLst>
          </c:dPt>
          <c:cat>
            <c:numRef>
              <c:f>'Area VIIa demersal trawl'!$D$2:$N$2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'Area VIIa demersal trawl'!$D$24:$N$24</c:f>
              <c:numCache>
                <c:formatCode>#,##0.00</c:formatCode>
                <c:ptCount val="11"/>
                <c:pt idx="0">
                  <c:v>0.36783075431547901</c:v>
                </c:pt>
                <c:pt idx="1">
                  <c:v>0.739416852522635</c:v>
                </c:pt>
                <c:pt idx="2">
                  <c:v>0.99698862093905805</c:v>
                </c:pt>
                <c:pt idx="3">
                  <c:v>0.96837552640746205</c:v>
                </c:pt>
                <c:pt idx="4">
                  <c:v>1.48783553655054</c:v>
                </c:pt>
                <c:pt idx="5">
                  <c:v>2.01234790385511</c:v>
                </c:pt>
                <c:pt idx="6">
                  <c:v>1.4628434730315101</c:v>
                </c:pt>
                <c:pt idx="7">
                  <c:v>1.4395022033304401</c:v>
                </c:pt>
                <c:pt idx="8">
                  <c:v>1.7963152414302701</c:v>
                </c:pt>
                <c:pt idx="9">
                  <c:v>0.15931418026390601</c:v>
                </c:pt>
                <c:pt idx="10">
                  <c:v>-0.14971801487278574</c:v>
                </c:pt>
              </c:numCache>
            </c:numRef>
          </c:val>
          <c:smooth val="0"/>
          <c:extLst>
            <c:ext xmlns:c16="http://schemas.microsoft.com/office/drawing/2014/chart" uri="{C3380CC4-5D6E-409C-BE32-E72D297353CC}">
              <c16:uniqueId val="{00000004-A457-4B0F-9A44-FB3E27ABDA36}"/>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24-40m'!$K$48</c:f>
          <c:strCache>
            <c:ptCount val="1"/>
            <c:pt idx="0">
              <c:v>Operating profit per kW day at sea (£)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C314-4C62-BF29-3AF7C2679DEF}"/>
              </c:ext>
            </c:extLst>
          </c:dPt>
          <c:dPt>
            <c:idx val="10"/>
            <c:bubble3D val="0"/>
            <c:spPr>
              <a:ln w="57150">
                <a:solidFill>
                  <a:schemeClr val="accent3"/>
                </a:solidFill>
                <a:prstDash val="sysDot"/>
              </a:ln>
            </c:spPr>
            <c:extLst>
              <c:ext xmlns:c16="http://schemas.microsoft.com/office/drawing/2014/chart" uri="{C3380CC4-5D6E-409C-BE32-E72D297353CC}">
                <c16:uniqueId val="{00000003-C314-4C62-BF29-3AF7C2679DEF}"/>
              </c:ext>
            </c:extLst>
          </c:dPt>
          <c:cat>
            <c:numRef>
              <c:f>'Area VIIb-k trawlers 24-40m'!$D$2:$N$2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'Area VIIb-k trawlers 24-40m'!$D$24:$N$24</c:f>
              <c:numCache>
                <c:formatCode>#,##0.00</c:formatCode>
                <c:ptCount val="11"/>
                <c:pt idx="0">
                  <c:v>1.88400358108776</c:v>
                </c:pt>
                <c:pt idx="1">
                  <c:v>-8.3399066170144601E-2</c:v>
                </c:pt>
                <c:pt idx="2">
                  <c:v>-9.7527565527309096E-2</c:v>
                </c:pt>
                <c:pt idx="3">
                  <c:v>0.24700038220263601</c:v>
                </c:pt>
                <c:pt idx="4">
                  <c:v>0.73146882779421896</c:v>
                </c:pt>
                <c:pt idx="5">
                  <c:v>3.7607349125776</c:v>
                </c:pt>
                <c:pt idx="6">
                  <c:v>0.801523235513941</c:v>
                </c:pt>
                <c:pt idx="7">
                  <c:v>0.389488927901807</c:v>
                </c:pt>
                <c:pt idx="8">
                  <c:v>0.64332015203234005</c:v>
                </c:pt>
                <c:pt idx="9">
                  <c:v>0.23087148502270499</c:v>
                </c:pt>
                <c:pt idx="10">
                  <c:v>0.2285216311602164</c:v>
                </c:pt>
              </c:numCache>
            </c:numRef>
          </c:val>
          <c:smooth val="0"/>
          <c:extLst>
            <c:ext xmlns:c16="http://schemas.microsoft.com/office/drawing/2014/chart" uri="{C3380CC4-5D6E-409C-BE32-E72D297353CC}">
              <c16:uniqueId val="{00000004-C314-4C62-BF29-3AF7C2679DEF}"/>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24-40m'!$A$50</c:f>
          <c:strCache>
            <c:ptCount val="1"/>
            <c:pt idx="0">
              <c:v>Average price per tonne landed (£)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9B8F-4EB3-9B24-51B4520B58AE}"/>
              </c:ext>
            </c:extLst>
          </c:dPt>
          <c:dPt>
            <c:idx val="10"/>
            <c:bubble3D val="0"/>
            <c:spPr>
              <a:ln w="57150">
                <a:solidFill>
                  <a:schemeClr val="accent4"/>
                </a:solidFill>
                <a:prstDash val="sysDot"/>
              </a:ln>
            </c:spPr>
            <c:extLst>
              <c:ext xmlns:c16="http://schemas.microsoft.com/office/drawing/2014/chart" uri="{C3380CC4-5D6E-409C-BE32-E72D297353CC}">
                <c16:uniqueId val="{00000003-9B8F-4EB3-9B24-51B4520B58AE}"/>
              </c:ext>
            </c:extLst>
          </c:dPt>
          <c:cat>
            <c:numRef>
              <c:f>'Area VIIb-k trawlers 24-40m'!$D$2:$M$2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24-40m'!$D$20:$N$20</c:f>
              <c:numCache>
                <c:formatCode>#,##0</c:formatCode>
                <c:ptCount val="11"/>
                <c:pt idx="0">
                  <c:v>3028</c:v>
                </c:pt>
                <c:pt idx="1">
                  <c:v>3048</c:v>
                </c:pt>
                <c:pt idx="2">
                  <c:v>2868</c:v>
                </c:pt>
                <c:pt idx="3">
                  <c:v>3120</c:v>
                </c:pt>
                <c:pt idx="4">
                  <c:v>3008</c:v>
                </c:pt>
                <c:pt idx="5">
                  <c:v>3547</c:v>
                </c:pt>
                <c:pt idx="6">
                  <c:v>3321</c:v>
                </c:pt>
                <c:pt idx="7">
                  <c:v>3416</c:v>
                </c:pt>
                <c:pt idx="8">
                  <c:v>2915</c:v>
                </c:pt>
                <c:pt idx="9">
                  <c:v>2470</c:v>
                </c:pt>
                <c:pt idx="10">
                  <c:v>2673</c:v>
                </c:pt>
              </c:numCache>
            </c:numRef>
          </c:val>
          <c:smooth val="0"/>
          <c:extLst>
            <c:ext xmlns:c16="http://schemas.microsoft.com/office/drawing/2014/chart" uri="{C3380CC4-5D6E-409C-BE32-E72D297353CC}">
              <c16:uniqueId val="{00000004-9B8F-4EB3-9B24-51B4520B58AE}"/>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24-40m'!$K$62</c:f>
          <c:strCache>
            <c:ptCount val="1"/>
            <c:pt idx="0">
              <c:v>Average annual operating profit per vessel (£'000)
Area VIIBCDEFGHK 24-40m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6434-4BBD-837A-DF05D3FF7FF6}"/>
              </c:ext>
            </c:extLst>
          </c:dPt>
          <c:dPt>
            <c:idx val="10"/>
            <c:bubble3D val="0"/>
            <c:spPr>
              <a:ln w="57150">
                <a:solidFill>
                  <a:schemeClr val="accent5"/>
                </a:solidFill>
                <a:prstDash val="sysDot"/>
              </a:ln>
            </c:spPr>
            <c:extLst>
              <c:ext xmlns:c16="http://schemas.microsoft.com/office/drawing/2014/chart" uri="{C3380CC4-5D6E-409C-BE32-E72D297353CC}">
                <c16:uniqueId val="{00000003-6434-4BBD-837A-DF05D3FF7FF6}"/>
              </c:ext>
            </c:extLst>
          </c:dPt>
          <c:cat>
            <c:numRef>
              <c:f>'Area VIIb-k trawlers 24-40m'!$D$2:$M$2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24-40m'!$D$37:$N$37</c:f>
              <c:numCache>
                <c:formatCode>#,##0.0</c:formatCode>
                <c:ptCount val="11"/>
                <c:pt idx="0">
                  <c:v>332.7</c:v>
                </c:pt>
                <c:pt idx="1">
                  <c:v>-14.4</c:v>
                </c:pt>
                <c:pt idx="2">
                  <c:v>-14.5</c:v>
                </c:pt>
                <c:pt idx="3">
                  <c:v>43</c:v>
                </c:pt>
                <c:pt idx="4">
                  <c:v>125.4</c:v>
                </c:pt>
                <c:pt idx="5">
                  <c:v>676.5</c:v>
                </c:pt>
                <c:pt idx="6">
                  <c:v>124.9</c:v>
                </c:pt>
                <c:pt idx="7">
                  <c:v>58.9</c:v>
                </c:pt>
                <c:pt idx="8">
                  <c:v>88.5</c:v>
                </c:pt>
                <c:pt idx="9">
                  <c:v>38.299999999999997</c:v>
                </c:pt>
                <c:pt idx="10">
                  <c:v>38.200000000000003</c:v>
                </c:pt>
              </c:numCache>
            </c:numRef>
          </c:val>
          <c:smooth val="0"/>
          <c:extLst>
            <c:ext xmlns:c16="http://schemas.microsoft.com/office/drawing/2014/chart" uri="{C3380CC4-5D6E-409C-BE32-E72D297353CC}">
              <c16:uniqueId val="{00000004-6434-4BBD-837A-DF05D3FF7FF6}"/>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24-40m'!$A$76</c:f>
          <c:strCache>
            <c:ptCount val="1"/>
            <c:pt idx="0">
              <c:v>Top 5 landed species by volume in 2020
Area VIIBCDEFGHK 24-40m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69F8-457F-AC81-D6332180F113}"/>
              </c:ext>
            </c:extLst>
          </c:dPt>
          <c:dPt>
            <c:idx val="1"/>
            <c:bubble3D val="0"/>
            <c:spPr>
              <a:solidFill>
                <a:srgbClr val="E87308"/>
              </a:solidFill>
              <a:ln>
                <a:solidFill>
                  <a:srgbClr val="FFFFFF"/>
                </a:solidFill>
              </a:ln>
            </c:spPr>
            <c:extLst>
              <c:ext xmlns:c16="http://schemas.microsoft.com/office/drawing/2014/chart" uri="{C3380CC4-5D6E-409C-BE32-E72D297353CC}">
                <c16:uniqueId val="{00000003-69F8-457F-AC81-D6332180F113}"/>
              </c:ext>
            </c:extLst>
          </c:dPt>
          <c:dPt>
            <c:idx val="2"/>
            <c:bubble3D val="0"/>
            <c:spPr>
              <a:solidFill>
                <a:srgbClr val="C1D119"/>
              </a:solidFill>
              <a:ln>
                <a:solidFill>
                  <a:srgbClr val="FFFFFF"/>
                </a:solidFill>
              </a:ln>
            </c:spPr>
            <c:extLst>
              <c:ext xmlns:c16="http://schemas.microsoft.com/office/drawing/2014/chart" uri="{C3380CC4-5D6E-409C-BE32-E72D297353CC}">
                <c16:uniqueId val="{00000005-69F8-457F-AC81-D6332180F113}"/>
              </c:ext>
            </c:extLst>
          </c:dPt>
          <c:dPt>
            <c:idx val="3"/>
            <c:bubble3D val="0"/>
            <c:spPr>
              <a:solidFill>
                <a:srgbClr val="0F9AA9"/>
              </a:solidFill>
              <a:ln>
                <a:solidFill>
                  <a:srgbClr val="FFFFFF"/>
                </a:solidFill>
              </a:ln>
            </c:spPr>
            <c:extLst>
              <c:ext xmlns:c16="http://schemas.microsoft.com/office/drawing/2014/chart" uri="{C3380CC4-5D6E-409C-BE32-E72D297353CC}">
                <c16:uniqueId val="{00000007-69F8-457F-AC81-D6332180F113}"/>
              </c:ext>
            </c:extLst>
          </c:dPt>
          <c:dPt>
            <c:idx val="4"/>
            <c:bubble3D val="0"/>
            <c:spPr>
              <a:solidFill>
                <a:srgbClr val="0F9AA9"/>
              </a:solidFill>
              <a:ln>
                <a:solidFill>
                  <a:srgbClr val="FFFFFF"/>
                </a:solidFill>
              </a:ln>
            </c:spPr>
            <c:extLst>
              <c:ext xmlns:c16="http://schemas.microsoft.com/office/drawing/2014/chart" uri="{C3380CC4-5D6E-409C-BE32-E72D297353CC}">
                <c16:uniqueId val="{00000009-69F8-457F-AC81-D6332180F113}"/>
              </c:ext>
            </c:extLst>
          </c:dPt>
          <c:dPt>
            <c:idx val="5"/>
            <c:bubble3D val="0"/>
            <c:spPr>
              <a:solidFill>
                <a:srgbClr val="55585A"/>
              </a:solidFill>
              <a:ln>
                <a:solidFill>
                  <a:srgbClr val="FFFFFF"/>
                </a:solidFill>
              </a:ln>
            </c:spPr>
            <c:extLst>
              <c:ext xmlns:c16="http://schemas.microsoft.com/office/drawing/2014/chart" uri="{C3380CC4-5D6E-409C-BE32-E72D297353CC}">
                <c16:uniqueId val="{0000000B-69F8-457F-AC81-D6332180F113}"/>
              </c:ext>
            </c:extLst>
          </c:dPt>
          <c:cat>
            <c:strRef>
              <c:f>'Area VIIb-k trawlers 24-40m'!$B$77:$B$82</c:f>
              <c:strCache>
                <c:ptCount val="6"/>
                <c:pt idx="0">
                  <c:v>Anglerfish - 39.5%</c:v>
                </c:pt>
                <c:pt idx="1">
                  <c:v>Megrim - 25.5%</c:v>
                </c:pt>
                <c:pt idx="2">
                  <c:v>Hake - 5.5%</c:v>
                </c:pt>
                <c:pt idx="3">
                  <c:v>Witch - 4.2%</c:v>
                </c:pt>
                <c:pt idx="4">
                  <c:v>-4.20%</c:v>
                </c:pt>
                <c:pt idx="5">
                  <c:v>Others - 21.1%</c:v>
                </c:pt>
              </c:strCache>
            </c:strRef>
          </c:cat>
          <c:val>
            <c:numRef>
              <c:f>'Area VIIb-k trawlers 24-40m'!$C$77:$C$82</c:f>
              <c:numCache>
                <c:formatCode>0.0%</c:formatCode>
                <c:ptCount val="6"/>
                <c:pt idx="0">
                  <c:v>0.39492224349088328</c:v>
                </c:pt>
                <c:pt idx="1">
                  <c:v>0.25505162173887769</c:v>
                </c:pt>
                <c:pt idx="2">
                  <c:v>5.5442024765244201E-2</c:v>
                </c:pt>
                <c:pt idx="3">
                  <c:v>4.2250231848896098E-2</c:v>
                </c:pt>
                <c:pt idx="4">
                  <c:v>4.1660582944860754E-2</c:v>
                </c:pt>
                <c:pt idx="5">
                  <c:v>0.21067329521123801</c:v>
                </c:pt>
              </c:numCache>
            </c:numRef>
          </c:val>
          <c:extLst>
            <c:ext xmlns:c16="http://schemas.microsoft.com/office/drawing/2014/chart" uri="{C3380CC4-5D6E-409C-BE32-E72D297353CC}">
              <c16:uniqueId val="{0000000C-69F8-457F-AC81-D6332180F113}"/>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24-40m'!$F$76</c:f>
          <c:strCache>
            <c:ptCount val="1"/>
            <c:pt idx="0">
              <c:v>Top 5 landed species by value in 2020
Area VIIBCDEFGHK 24-40m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5D40-43F9-81B0-287D60BC7D41}"/>
              </c:ext>
            </c:extLst>
          </c:dPt>
          <c:dPt>
            <c:idx val="1"/>
            <c:bubble3D val="0"/>
            <c:spPr>
              <a:solidFill>
                <a:srgbClr val="E87308"/>
              </a:solidFill>
              <a:ln>
                <a:solidFill>
                  <a:srgbClr val="FFFFFF"/>
                </a:solidFill>
              </a:ln>
            </c:spPr>
            <c:extLst>
              <c:ext xmlns:c16="http://schemas.microsoft.com/office/drawing/2014/chart" uri="{C3380CC4-5D6E-409C-BE32-E72D297353CC}">
                <c16:uniqueId val="{00000003-5D40-43F9-81B0-287D60BC7D41}"/>
              </c:ext>
            </c:extLst>
          </c:dPt>
          <c:dPt>
            <c:idx val="2"/>
            <c:bubble3D val="0"/>
            <c:spPr>
              <a:solidFill>
                <a:srgbClr val="648C2E"/>
              </a:solidFill>
              <a:ln>
                <a:solidFill>
                  <a:srgbClr val="FFFFFF"/>
                </a:solidFill>
              </a:ln>
            </c:spPr>
            <c:extLst>
              <c:ext xmlns:c16="http://schemas.microsoft.com/office/drawing/2014/chart" uri="{C3380CC4-5D6E-409C-BE32-E72D297353CC}">
                <c16:uniqueId val="{00000005-5D40-43F9-81B0-287D60BC7D41}"/>
              </c:ext>
            </c:extLst>
          </c:dPt>
          <c:dPt>
            <c:idx val="3"/>
            <c:bubble3D val="0"/>
            <c:spPr>
              <a:solidFill>
                <a:srgbClr val="C1D119"/>
              </a:solidFill>
              <a:ln>
                <a:solidFill>
                  <a:srgbClr val="FFFFFF"/>
                </a:solidFill>
              </a:ln>
            </c:spPr>
            <c:extLst>
              <c:ext xmlns:c16="http://schemas.microsoft.com/office/drawing/2014/chart" uri="{C3380CC4-5D6E-409C-BE32-E72D297353CC}">
                <c16:uniqueId val="{00000007-5D40-43F9-81B0-287D60BC7D41}"/>
              </c:ext>
            </c:extLst>
          </c:dPt>
          <c:dPt>
            <c:idx val="4"/>
            <c:bubble3D val="0"/>
            <c:spPr>
              <a:solidFill>
                <a:srgbClr val="E84A38"/>
              </a:solidFill>
              <a:ln>
                <a:solidFill>
                  <a:srgbClr val="FFFFFF"/>
                </a:solidFill>
              </a:ln>
            </c:spPr>
            <c:extLst>
              <c:ext xmlns:c16="http://schemas.microsoft.com/office/drawing/2014/chart" uri="{C3380CC4-5D6E-409C-BE32-E72D297353CC}">
                <c16:uniqueId val="{00000009-5D40-43F9-81B0-287D60BC7D41}"/>
              </c:ext>
            </c:extLst>
          </c:dPt>
          <c:dPt>
            <c:idx val="5"/>
            <c:bubble3D val="0"/>
            <c:spPr>
              <a:solidFill>
                <a:srgbClr val="55585A"/>
              </a:solidFill>
              <a:ln>
                <a:solidFill>
                  <a:srgbClr val="FFFFFF"/>
                </a:solidFill>
              </a:ln>
            </c:spPr>
            <c:extLst>
              <c:ext xmlns:c16="http://schemas.microsoft.com/office/drawing/2014/chart" uri="{C3380CC4-5D6E-409C-BE32-E72D297353CC}">
                <c16:uniqueId val="{0000000B-5D40-43F9-81B0-287D60BC7D41}"/>
              </c:ext>
            </c:extLst>
          </c:dPt>
          <c:cat>
            <c:strRef>
              <c:f>'Area VIIb-k trawlers 24-40m'!$G$77:$G$82</c:f>
              <c:strCache>
                <c:ptCount val="6"/>
                <c:pt idx="0">
                  <c:v>Anglerfish - 47.2%</c:v>
                </c:pt>
                <c:pt idx="1">
                  <c:v>Megrim - 25.7%</c:v>
                </c:pt>
                <c:pt idx="2">
                  <c:v>Nephrops - 4.4%</c:v>
                </c:pt>
                <c:pt idx="3">
                  <c:v>Hake - 3.8%</c:v>
                </c:pt>
                <c:pt idx="4">
                  <c:v>Haddock - 3.2%</c:v>
                </c:pt>
                <c:pt idx="5">
                  <c:v>Others - 15.7%</c:v>
                </c:pt>
              </c:strCache>
            </c:strRef>
          </c:cat>
          <c:val>
            <c:numRef>
              <c:f>'Area VIIb-k trawlers 24-40m'!$H$77:$H$82</c:f>
              <c:numCache>
                <c:formatCode>0.0%</c:formatCode>
                <c:ptCount val="6"/>
                <c:pt idx="0">
                  <c:v>0.47196767112016347</c:v>
                </c:pt>
                <c:pt idx="1">
                  <c:v>0.25716643584676707</c:v>
                </c:pt>
                <c:pt idx="2">
                  <c:v>4.4202589013301347E-2</c:v>
                </c:pt>
                <c:pt idx="3">
                  <c:v>3.7503695593471296E-2</c:v>
                </c:pt>
                <c:pt idx="4">
                  <c:v>3.1781175699035408E-2</c:v>
                </c:pt>
                <c:pt idx="5">
                  <c:v>0.15737843272726137</c:v>
                </c:pt>
              </c:numCache>
            </c:numRef>
          </c:val>
          <c:extLst>
            <c:ext xmlns:c16="http://schemas.microsoft.com/office/drawing/2014/chart" uri="{C3380CC4-5D6E-409C-BE32-E72D297353CC}">
              <c16:uniqueId val="{0000000C-5D40-43F9-81B0-287D60BC7D41}"/>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24-40m'!$K$77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VIIb-k trawlers 24-40m'!$C$92</c:f>
              <c:strCache>
                <c:ptCount val="1"/>
                <c:pt idx="0">
                  <c:v>Anglerfish</c:v>
                </c:pt>
              </c:strCache>
            </c:strRef>
          </c:tx>
          <c:spPr>
            <a:solidFill>
              <a:srgbClr val="2273B9"/>
            </a:solidFill>
            <a:ln>
              <a:solidFill>
                <a:srgbClr val="FFFFFF"/>
              </a:solidFill>
            </a:ln>
          </c:spPr>
          <c:invertIfNegative val="0"/>
          <c:cat>
            <c:numRef>
              <c:f>'Area VIIb-k trawlers 24-40m'!$D$91:$M$91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24-40m'!$D$92:$M$92</c:f>
              <c:numCache>
                <c:formatCode>0%</c:formatCode>
                <c:ptCount val="10"/>
                <c:pt idx="0">
                  <c:v>0.29920042342514119</c:v>
                </c:pt>
                <c:pt idx="1">
                  <c:v>0.4031881504887127</c:v>
                </c:pt>
                <c:pt idx="2">
                  <c:v>0.40701506377959568</c:v>
                </c:pt>
                <c:pt idx="3">
                  <c:v>0.38506751811489454</c:v>
                </c:pt>
                <c:pt idx="4">
                  <c:v>0.45823946110685815</c:v>
                </c:pt>
                <c:pt idx="5">
                  <c:v>0.43862121460453507</c:v>
                </c:pt>
                <c:pt idx="6">
                  <c:v>0.4587744128226347</c:v>
                </c:pt>
                <c:pt idx="7">
                  <c:v>0.47819974389844794</c:v>
                </c:pt>
                <c:pt idx="8">
                  <c:v>0.47196767112016347</c:v>
                </c:pt>
                <c:pt idx="9">
                  <c:v>0.51703380598688176</c:v>
                </c:pt>
              </c:numCache>
            </c:numRef>
          </c:val>
          <c:extLst>
            <c:ext xmlns:c16="http://schemas.microsoft.com/office/drawing/2014/chart" uri="{C3380CC4-5D6E-409C-BE32-E72D297353CC}">
              <c16:uniqueId val="{00000000-9E75-4FEF-B6BF-E015902FDF0D}"/>
            </c:ext>
          </c:extLst>
        </c:ser>
        <c:ser>
          <c:idx val="1"/>
          <c:order val="1"/>
          <c:tx>
            <c:strRef>
              <c:f>'Area VIIb-k trawlers 24-40m'!$C$93</c:f>
              <c:strCache>
                <c:ptCount val="1"/>
                <c:pt idx="0">
                  <c:v>Megrim</c:v>
                </c:pt>
              </c:strCache>
            </c:strRef>
          </c:tx>
          <c:spPr>
            <a:solidFill>
              <a:srgbClr val="E87308"/>
            </a:solidFill>
            <a:ln>
              <a:solidFill>
                <a:srgbClr val="FFFFFF"/>
              </a:solidFill>
            </a:ln>
          </c:spPr>
          <c:invertIfNegative val="0"/>
          <c:cat>
            <c:numRef>
              <c:f>'Area VIIb-k trawlers 24-40m'!$D$91:$M$91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24-40m'!$D$93:$M$93</c:f>
              <c:numCache>
                <c:formatCode>0%</c:formatCode>
                <c:ptCount val="10"/>
                <c:pt idx="0">
                  <c:v>0.25100149250787346</c:v>
                </c:pt>
                <c:pt idx="1">
                  <c:v>0.32393297562530143</c:v>
                </c:pt>
                <c:pt idx="2">
                  <c:v>0.32545855941152041</c:v>
                </c:pt>
                <c:pt idx="3">
                  <c:v>0.30892385848014436</c:v>
                </c:pt>
                <c:pt idx="4">
                  <c:v>0.33941883631047026</c:v>
                </c:pt>
                <c:pt idx="5">
                  <c:v>0.30968710313490122</c:v>
                </c:pt>
                <c:pt idx="6">
                  <c:v>0.26760876733399463</c:v>
                </c:pt>
                <c:pt idx="7">
                  <c:v>0.24042407363730939</c:v>
                </c:pt>
                <c:pt idx="8">
                  <c:v>0.25716643584676707</c:v>
                </c:pt>
                <c:pt idx="9">
                  <c:v>0.24017291465268617</c:v>
                </c:pt>
              </c:numCache>
            </c:numRef>
          </c:val>
          <c:extLst>
            <c:ext xmlns:c16="http://schemas.microsoft.com/office/drawing/2014/chart" uri="{C3380CC4-5D6E-409C-BE32-E72D297353CC}">
              <c16:uniqueId val="{00000001-9E75-4FEF-B6BF-E015902FDF0D}"/>
            </c:ext>
          </c:extLst>
        </c:ser>
        <c:ser>
          <c:idx val="2"/>
          <c:order val="2"/>
          <c:tx>
            <c:strRef>
              <c:f>'Area VIIb-k trawlers 24-40m'!$C$94</c:f>
              <c:strCache>
                <c:ptCount val="1"/>
                <c:pt idx="0">
                  <c:v>Nephrops</c:v>
                </c:pt>
              </c:strCache>
            </c:strRef>
          </c:tx>
          <c:spPr>
            <a:solidFill>
              <a:srgbClr val="648C2E"/>
            </a:solidFill>
            <a:ln>
              <a:solidFill>
                <a:srgbClr val="FFFFFF"/>
              </a:solidFill>
            </a:ln>
          </c:spPr>
          <c:invertIfNegative val="0"/>
          <c:cat>
            <c:numRef>
              <c:f>'Area VIIb-k trawlers 24-40m'!$D$91:$M$91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24-40m'!$D$94:$M$94</c:f>
              <c:numCache>
                <c:formatCode>0%</c:formatCode>
                <c:ptCount val="10"/>
                <c:pt idx="4">
                  <c:v>3.6085591352397257E-2</c:v>
                </c:pt>
                <c:pt idx="5">
                  <c:v>7.8080402166688614E-2</c:v>
                </c:pt>
                <c:pt idx="6">
                  <c:v>6.2714745381407255E-2</c:v>
                </c:pt>
                <c:pt idx="7">
                  <c:v>6.9146097810864227E-2</c:v>
                </c:pt>
                <c:pt idx="8">
                  <c:v>4.4202589013301347E-2</c:v>
                </c:pt>
                <c:pt idx="9">
                  <c:v>6.6133732802885495E-2</c:v>
                </c:pt>
              </c:numCache>
            </c:numRef>
          </c:val>
          <c:extLst>
            <c:ext xmlns:c16="http://schemas.microsoft.com/office/drawing/2014/chart" uri="{C3380CC4-5D6E-409C-BE32-E72D297353CC}">
              <c16:uniqueId val="{00000002-9E75-4FEF-B6BF-E015902FDF0D}"/>
            </c:ext>
          </c:extLst>
        </c:ser>
        <c:ser>
          <c:idx val="3"/>
          <c:order val="3"/>
          <c:tx>
            <c:strRef>
              <c:f>'Area VIIb-k trawlers 24-40m'!$C$95</c:f>
              <c:strCache>
                <c:ptCount val="1"/>
                <c:pt idx="0">
                  <c:v>Hake</c:v>
                </c:pt>
              </c:strCache>
            </c:strRef>
          </c:tx>
          <c:spPr>
            <a:solidFill>
              <a:srgbClr val="C1D119"/>
            </a:solidFill>
            <a:ln>
              <a:solidFill>
                <a:srgbClr val="FFFFFF"/>
              </a:solidFill>
            </a:ln>
          </c:spPr>
          <c:invertIfNegative val="0"/>
          <c:cat>
            <c:numRef>
              <c:f>'Area VIIb-k trawlers 24-40m'!$D$91:$M$91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24-40m'!$D$95:$M$95</c:f>
              <c:numCache>
                <c:formatCode>0%</c:formatCode>
                <c:ptCount val="10"/>
                <c:pt idx="1">
                  <c:v>3.3098359216542111E-2</c:v>
                </c:pt>
                <c:pt idx="2">
                  <c:v>4.1481225663011344E-2</c:v>
                </c:pt>
                <c:pt idx="3">
                  <c:v>4.9009991365753493E-2</c:v>
                </c:pt>
                <c:pt idx="4">
                  <c:v>4.9711217944211454E-2</c:v>
                </c:pt>
                <c:pt idx="5">
                  <c:v>4.7200137152556075E-2</c:v>
                </c:pt>
                <c:pt idx="6">
                  <c:v>3.197149527225629E-2</c:v>
                </c:pt>
                <c:pt idx="7">
                  <c:v>3.9681538971269824E-2</c:v>
                </c:pt>
                <c:pt idx="8">
                  <c:v>3.7503695593471296E-2</c:v>
                </c:pt>
              </c:numCache>
            </c:numRef>
          </c:val>
          <c:extLst>
            <c:ext xmlns:c16="http://schemas.microsoft.com/office/drawing/2014/chart" uri="{C3380CC4-5D6E-409C-BE32-E72D297353CC}">
              <c16:uniqueId val="{00000003-9E75-4FEF-B6BF-E015902FDF0D}"/>
            </c:ext>
          </c:extLst>
        </c:ser>
        <c:ser>
          <c:idx val="4"/>
          <c:order val="4"/>
          <c:tx>
            <c:strRef>
              <c:f>'Area VIIb-k trawlers 24-40m'!$C$96</c:f>
              <c:strCache>
                <c:ptCount val="1"/>
                <c:pt idx="0">
                  <c:v>Haddock</c:v>
                </c:pt>
              </c:strCache>
            </c:strRef>
          </c:tx>
          <c:spPr>
            <a:solidFill>
              <a:srgbClr val="E84A38"/>
            </a:solidFill>
            <a:ln>
              <a:solidFill>
                <a:srgbClr val="FFFFFF"/>
              </a:solidFill>
            </a:ln>
          </c:spPr>
          <c:invertIfNegative val="0"/>
          <c:cat>
            <c:numRef>
              <c:f>'Area VIIb-k trawlers 24-40m'!$D$91:$M$91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24-40m'!$D$96:$M$96</c:f>
              <c:numCache>
                <c:formatCode>0%</c:formatCode>
                <c:ptCount val="10"/>
                <c:pt idx="1">
                  <c:v>5.6317600795370425E-2</c:v>
                </c:pt>
                <c:pt idx="2">
                  <c:v>2.2554224177519389E-2</c:v>
                </c:pt>
                <c:pt idx="8">
                  <c:v>3.1781175699035408E-2</c:v>
                </c:pt>
              </c:numCache>
            </c:numRef>
          </c:val>
          <c:extLst>
            <c:ext xmlns:c16="http://schemas.microsoft.com/office/drawing/2014/chart" uri="{C3380CC4-5D6E-409C-BE32-E72D297353CC}">
              <c16:uniqueId val="{00000004-9E75-4FEF-B6BF-E015902FDF0D}"/>
            </c:ext>
          </c:extLst>
        </c:ser>
        <c:ser>
          <c:idx val="5"/>
          <c:order val="5"/>
          <c:tx>
            <c:strRef>
              <c:f>'Area VIIb-k trawlers 24-40m'!$C$97</c:f>
              <c:strCache>
                <c:ptCount val="1"/>
                <c:pt idx="0">
                  <c:v>Witch</c:v>
                </c:pt>
              </c:strCache>
            </c:strRef>
          </c:tx>
          <c:spPr>
            <a:solidFill>
              <a:srgbClr val="0F9AA9"/>
            </a:solidFill>
            <a:ln>
              <a:solidFill>
                <a:srgbClr val="FFFFFF"/>
              </a:solidFill>
            </a:ln>
          </c:spPr>
          <c:invertIfNegative val="0"/>
          <c:cat>
            <c:numRef>
              <c:f>'Area VIIb-k trawlers 24-40m'!$D$91:$M$91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24-40m'!$D$97:$M$97</c:f>
              <c:numCache>
                <c:formatCode>0%</c:formatCode>
                <c:ptCount val="10"/>
                <c:pt idx="4">
                  <c:v>3.3873146624952548E-2</c:v>
                </c:pt>
                <c:pt idx="5">
                  <c:v>2.6442779028529543E-2</c:v>
                </c:pt>
                <c:pt idx="6">
                  <c:v>3.1937299966021626E-2</c:v>
                </c:pt>
                <c:pt idx="7">
                  <c:v>2.8444232778621851E-2</c:v>
                </c:pt>
                <c:pt idx="9">
                  <c:v>2.5311213997250212E-2</c:v>
                </c:pt>
              </c:numCache>
            </c:numRef>
          </c:val>
          <c:extLst>
            <c:ext xmlns:c16="http://schemas.microsoft.com/office/drawing/2014/chart" uri="{C3380CC4-5D6E-409C-BE32-E72D297353CC}">
              <c16:uniqueId val="{00000005-9E75-4FEF-B6BF-E015902FDF0D}"/>
            </c:ext>
          </c:extLst>
        </c:ser>
        <c:ser>
          <c:idx val="6"/>
          <c:order val="6"/>
          <c:tx>
            <c:strRef>
              <c:f>'Area VIIb-k trawlers 24-40m'!$C$98</c:f>
              <c:strCache>
                <c:ptCount val="1"/>
                <c:pt idx="0">
                  <c:v>John Dory</c:v>
                </c:pt>
              </c:strCache>
            </c:strRef>
          </c:tx>
          <c:spPr>
            <a:solidFill>
              <a:srgbClr val="FED825"/>
            </a:solidFill>
            <a:ln>
              <a:solidFill>
                <a:srgbClr val="FFFFFF"/>
              </a:solidFill>
            </a:ln>
          </c:spPr>
          <c:invertIfNegative val="0"/>
          <c:cat>
            <c:numRef>
              <c:f>'Area VIIb-k trawlers 24-40m'!$D$91:$M$91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24-40m'!$D$98:$M$98</c:f>
              <c:numCache>
                <c:formatCode>0%</c:formatCode>
                <c:ptCount val="10"/>
                <c:pt idx="9">
                  <c:v>2.3910957438924747E-2</c:v>
                </c:pt>
              </c:numCache>
            </c:numRef>
          </c:val>
          <c:extLst>
            <c:ext xmlns:c16="http://schemas.microsoft.com/office/drawing/2014/chart" uri="{C3380CC4-5D6E-409C-BE32-E72D297353CC}">
              <c16:uniqueId val="{00000006-9E75-4FEF-B6BF-E015902FDF0D}"/>
            </c:ext>
          </c:extLst>
        </c:ser>
        <c:ser>
          <c:idx val="7"/>
          <c:order val="7"/>
          <c:tx>
            <c:strRef>
              <c:f>'Area VIIb-k trawlers 24-40m'!$C$99</c:f>
              <c:strCache>
                <c:ptCount val="1"/>
                <c:pt idx="0">
                  <c:v>Squid</c:v>
                </c:pt>
              </c:strCache>
            </c:strRef>
          </c:tx>
          <c:spPr>
            <a:solidFill>
              <a:srgbClr val="707271"/>
            </a:solidFill>
            <a:ln>
              <a:solidFill>
                <a:srgbClr val="FFFFFF"/>
              </a:solidFill>
            </a:ln>
          </c:spPr>
          <c:invertIfNegative val="0"/>
          <c:cat>
            <c:numRef>
              <c:f>'Area VIIb-k trawlers 24-40m'!$D$91:$M$91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24-40m'!$D$99:$M$99</c:f>
              <c:numCache>
                <c:formatCode>0%</c:formatCode>
                <c:ptCount val="10"/>
                <c:pt idx="0">
                  <c:v>5.0350147607056209E-2</c:v>
                </c:pt>
                <c:pt idx="1">
                  <c:v>3.8958014861504915E-2</c:v>
                </c:pt>
                <c:pt idx="2">
                  <c:v>4.0309536607420322E-2</c:v>
                </c:pt>
                <c:pt idx="3">
                  <c:v>3.6188919291715992E-2</c:v>
                </c:pt>
              </c:numCache>
            </c:numRef>
          </c:val>
          <c:extLst>
            <c:ext xmlns:c16="http://schemas.microsoft.com/office/drawing/2014/chart" uri="{C3380CC4-5D6E-409C-BE32-E72D297353CC}">
              <c16:uniqueId val="{00000007-9E75-4FEF-B6BF-E015902FDF0D}"/>
            </c:ext>
          </c:extLst>
        </c:ser>
        <c:ser>
          <c:idx val="8"/>
          <c:order val="8"/>
          <c:tx>
            <c:strRef>
              <c:f>'Area VIIb-k trawlers 24-40m'!$C$100</c:f>
              <c:strCache>
                <c:ptCount val="1"/>
                <c:pt idx="0">
                  <c:v>Plaice</c:v>
                </c:pt>
              </c:strCache>
            </c:strRef>
          </c:tx>
          <c:spPr>
            <a:solidFill>
              <a:srgbClr val="51AA81"/>
            </a:solidFill>
            <a:ln>
              <a:solidFill>
                <a:srgbClr val="FFFFFF"/>
              </a:solidFill>
            </a:ln>
          </c:spPr>
          <c:invertIfNegative val="0"/>
          <c:cat>
            <c:numRef>
              <c:f>'Area VIIb-k trawlers 24-40m'!$D$91:$M$91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24-40m'!$D$100:$M$100</c:f>
              <c:numCache>
                <c:formatCode>0%</c:formatCode>
                <c:ptCount val="10"/>
                <c:pt idx="0">
                  <c:v>6.8576632937303705E-2</c:v>
                </c:pt>
                <c:pt idx="3">
                  <c:v>3.0294966055495028E-2</c:v>
                </c:pt>
              </c:numCache>
            </c:numRef>
          </c:val>
          <c:extLst>
            <c:ext xmlns:c16="http://schemas.microsoft.com/office/drawing/2014/chart" uri="{C3380CC4-5D6E-409C-BE32-E72D297353CC}">
              <c16:uniqueId val="{00000008-9E75-4FEF-B6BF-E015902FDF0D}"/>
            </c:ext>
          </c:extLst>
        </c:ser>
        <c:ser>
          <c:idx val="9"/>
          <c:order val="9"/>
          <c:tx>
            <c:strRef>
              <c:f>'Area VIIb-k trawlers 24-40m'!$C$101</c:f>
              <c:strCache>
                <c:ptCount val="1"/>
                <c:pt idx="0">
                  <c:v>Red Mullet</c:v>
                </c:pt>
              </c:strCache>
            </c:strRef>
          </c:tx>
          <c:spPr>
            <a:solidFill>
              <a:srgbClr val="169FDB"/>
            </a:solidFill>
            <a:ln>
              <a:solidFill>
                <a:srgbClr val="FFFFFF"/>
              </a:solidFill>
            </a:ln>
          </c:spPr>
          <c:invertIfNegative val="0"/>
          <c:cat>
            <c:numRef>
              <c:f>'Area VIIb-k trawlers 24-40m'!$D$91:$M$91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24-40m'!$D$101:$M$101</c:f>
              <c:numCache>
                <c:formatCode>0%</c:formatCode>
                <c:ptCount val="10"/>
                <c:pt idx="0">
                  <c:v>3.459548872510021E-2</c:v>
                </c:pt>
              </c:numCache>
            </c:numRef>
          </c:val>
          <c:extLst>
            <c:ext xmlns:c16="http://schemas.microsoft.com/office/drawing/2014/chart" uri="{C3380CC4-5D6E-409C-BE32-E72D297353CC}">
              <c16:uniqueId val="{00000009-9E75-4FEF-B6BF-E015902FDF0D}"/>
            </c:ext>
          </c:extLst>
        </c:ser>
        <c:ser>
          <c:idx val="10"/>
          <c:order val="10"/>
          <c:tx>
            <c:strRef>
              <c:f>'Area VIIb-k trawlers 24-40m'!$C$102</c:f>
              <c:strCache>
                <c:ptCount val="1"/>
                <c:pt idx="0">
                  <c:v>Others</c:v>
                </c:pt>
              </c:strCache>
            </c:strRef>
          </c:tx>
          <c:spPr>
            <a:solidFill>
              <a:srgbClr val="55585A"/>
            </a:solidFill>
            <a:ln>
              <a:solidFill>
                <a:srgbClr val="FFFFFF"/>
              </a:solidFill>
            </a:ln>
          </c:spPr>
          <c:invertIfNegative val="0"/>
          <c:cat>
            <c:numRef>
              <c:f>'Area VIIb-k trawlers 24-40m'!$D$91:$M$91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24-40m'!$D$102:$M$102</c:f>
              <c:numCache>
                <c:formatCode>0%</c:formatCode>
                <c:ptCount val="10"/>
                <c:pt idx="0">
                  <c:v>0.29627581479752518</c:v>
                </c:pt>
                <c:pt idx="1">
                  <c:v>0.14450489901256838</c:v>
                </c:pt>
                <c:pt idx="2">
                  <c:v>0.16318139036093285</c:v>
                </c:pt>
                <c:pt idx="3">
                  <c:v>0.19051474669199658</c:v>
                </c:pt>
                <c:pt idx="4">
                  <c:v>8.2671746661110365E-2</c:v>
                </c:pt>
                <c:pt idx="5">
                  <c:v>9.9968363912789474E-2</c:v>
                </c:pt>
                <c:pt idx="6">
                  <c:v>0.14699327922368549</c:v>
                </c:pt>
                <c:pt idx="7">
                  <c:v>0.1441043129034868</c:v>
                </c:pt>
                <c:pt idx="8">
                  <c:v>0.1573784327272614</c:v>
                </c:pt>
                <c:pt idx="9">
                  <c:v>0.12743737512137154</c:v>
                </c:pt>
              </c:numCache>
            </c:numRef>
          </c:val>
          <c:extLst>
            <c:ext xmlns:c16="http://schemas.microsoft.com/office/drawing/2014/chart" uri="{C3380CC4-5D6E-409C-BE32-E72D297353CC}">
              <c16:uniqueId val="{0000000A-9E75-4FEF-B6BF-E015902FDF0D}"/>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'Area VIIb-k trawlers 24-40m'!$B$162</c:f>
              <c:strCache>
                <c:ptCount val="1"/>
                <c:pt idx="0">
                  <c:v>Anglerfish</c:v>
                </c:pt>
              </c:strCache>
            </c:strRef>
          </c:tx>
          <c:spPr>
            <a:solidFill>
              <a:srgbClr val="2273B9"/>
            </a:solidFill>
            <a:ln>
              <a:solidFill>
                <a:srgbClr val="FFFFFF"/>
              </a:solidFill>
            </a:ln>
          </c:spPr>
          <c:invertIfNegative val="0"/>
          <c:cat>
            <c:strRef>
              <c:f>'Area VIIb-k trawlers 24-40m'!$C$161:$E$161</c:f>
              <c:strCache>
                <c:ptCount val="3"/>
                <c:pt idx="0">
                  <c:v>Most
profitable
quartile</c:v>
                </c:pt>
                <c:pt idx="1">
                  <c:v>Middle 
two quartiles</c:v>
                </c:pt>
                <c:pt idx="2">
                  <c:v>Least
profitable
quartile</c:v>
                </c:pt>
              </c:strCache>
            </c:strRef>
          </c:cat>
          <c:val>
            <c:numRef>
              <c:f>'Area VIIb-k trawlers 24-40m'!$C$162:$E$162</c:f>
              <c:numCache>
                <c:formatCode>0%</c:formatCode>
                <c:ptCount val="3"/>
                <c:pt idx="0">
                  <c:v>0</c:v>
                </c:pt>
                <c:pt idx="1">
                  <c:v>0.46339656338569241</c:v>
                </c:pt>
                <c:pt idx="2">
                  <c:v>0</c:v>
                </c:pt>
              </c:numCache>
            </c:numRef>
          </c:val>
          <c:extLst>
            <c:ext xmlns:c16="http://schemas.microsoft.com/office/drawing/2014/chart" uri="{C3380CC4-5D6E-409C-BE32-E72D297353CC}">
              <c16:uniqueId val="{00000000-1EDD-4409-8710-B78A9347FE8E}"/>
            </c:ext>
          </c:extLst>
        </c:ser>
        <c:ser>
          <c:idx val="1"/>
          <c:order val="1"/>
          <c:tx>
            <c:strRef>
              <c:f>'Area VIIb-k trawlers 24-40m'!$B$163</c:f>
              <c:strCache>
                <c:ptCount val="1"/>
                <c:pt idx="0">
                  <c:v>Megrim</c:v>
                </c:pt>
              </c:strCache>
            </c:strRef>
          </c:tx>
          <c:spPr>
            <a:solidFill>
              <a:srgbClr val="E87308"/>
            </a:solidFill>
            <a:ln>
              <a:solidFill>
                <a:srgbClr val="FFFFFF"/>
              </a:solidFill>
            </a:ln>
          </c:spPr>
          <c:invertIfNegative val="0"/>
          <c:cat>
            <c:strRef>
              <c:f>'Area VIIb-k trawlers 24-40m'!$C$161:$E$161</c:f>
              <c:strCache>
                <c:ptCount val="3"/>
                <c:pt idx="0">
                  <c:v>Most
profitable
quartile</c:v>
                </c:pt>
                <c:pt idx="1">
                  <c:v>Middle 
two quartiles</c:v>
                </c:pt>
                <c:pt idx="2">
                  <c:v>Least
profitable
quartile</c:v>
                </c:pt>
              </c:strCache>
            </c:strRef>
          </c:cat>
          <c:val>
            <c:numRef>
              <c:f>'Area VIIb-k trawlers 24-40m'!$C$163:$E$163</c:f>
              <c:numCache>
                <c:formatCode>0%</c:formatCode>
                <c:ptCount val="3"/>
                <c:pt idx="0">
                  <c:v>0</c:v>
                </c:pt>
                <c:pt idx="1">
                  <c:v>0.32343977731484624</c:v>
                </c:pt>
                <c:pt idx="2">
                  <c:v>0</c:v>
                </c:pt>
              </c:numCache>
            </c:numRef>
          </c:val>
          <c:extLst>
            <c:ext xmlns:c16="http://schemas.microsoft.com/office/drawing/2014/chart" uri="{C3380CC4-5D6E-409C-BE32-E72D297353CC}">
              <c16:uniqueId val="{00000001-1EDD-4409-8710-B78A9347FE8E}"/>
            </c:ext>
          </c:extLst>
        </c:ser>
        <c:ser>
          <c:idx val="2"/>
          <c:order val="2"/>
          <c:tx>
            <c:strRef>
              <c:f>'Area VIIb-k trawlers 24-40m'!$B$164</c:f>
              <c:strCache>
                <c:ptCount val="1"/>
                <c:pt idx="0">
                  <c:v>Hake</c:v>
                </c:pt>
              </c:strCache>
            </c:strRef>
          </c:tx>
          <c:spPr>
            <a:solidFill>
              <a:srgbClr val="C1D119"/>
            </a:solidFill>
            <a:ln>
              <a:solidFill>
                <a:srgbClr val="FFFFFF"/>
              </a:solidFill>
            </a:ln>
          </c:spPr>
          <c:invertIfNegative val="0"/>
          <c:cat>
            <c:strRef>
              <c:f>'Area VIIb-k trawlers 24-40m'!$C$161:$E$161</c:f>
              <c:strCache>
                <c:ptCount val="3"/>
                <c:pt idx="0">
                  <c:v>Most
profitable
quartile</c:v>
                </c:pt>
                <c:pt idx="1">
                  <c:v>Middle 
two quartiles</c:v>
                </c:pt>
                <c:pt idx="2">
                  <c:v>Least
profitable
quartile</c:v>
                </c:pt>
              </c:strCache>
            </c:strRef>
          </c:cat>
          <c:val>
            <c:numRef>
              <c:f>'Area VIIb-k trawlers 24-40m'!$C$164:$E$164</c:f>
              <c:numCache>
                <c:formatCode>0%</c:formatCode>
                <c:ptCount val="3"/>
                <c:pt idx="0">
                  <c:v>0</c:v>
                </c:pt>
                <c:pt idx="1">
                  <c:v>5.4827912839396344E-2</c:v>
                </c:pt>
                <c:pt idx="2">
                  <c:v>0</c:v>
                </c:pt>
              </c:numCache>
            </c:numRef>
          </c:val>
          <c:extLst>
            <c:ext xmlns:c16="http://schemas.microsoft.com/office/drawing/2014/chart" uri="{C3380CC4-5D6E-409C-BE32-E72D297353CC}">
              <c16:uniqueId val="{00000002-1EDD-4409-8710-B78A9347FE8E}"/>
            </c:ext>
          </c:extLst>
        </c:ser>
        <c:ser>
          <c:idx val="3"/>
          <c:order val="3"/>
          <c:tx>
            <c:strRef>
              <c:f>'Area VIIb-k trawlers 24-40m'!$B$165</c:f>
              <c:strCache>
                <c:ptCount val="1"/>
                <c:pt idx="0">
                  <c:v>Witch</c:v>
                </c:pt>
              </c:strCache>
            </c:strRef>
          </c:tx>
          <c:spPr>
            <a:solidFill>
              <a:srgbClr val="0F9AA9"/>
            </a:solidFill>
            <a:ln>
              <a:solidFill>
                <a:srgbClr val="FFFFFF"/>
              </a:solidFill>
            </a:ln>
          </c:spPr>
          <c:invertIfNegative val="0"/>
          <c:cat>
            <c:strRef>
              <c:f>'Area VIIb-k trawlers 24-40m'!$C$161:$E$161</c:f>
              <c:strCache>
                <c:ptCount val="3"/>
                <c:pt idx="0">
                  <c:v>Most
profitable
quartile</c:v>
                </c:pt>
                <c:pt idx="1">
                  <c:v>Middle 
two quartiles</c:v>
                </c:pt>
                <c:pt idx="2">
                  <c:v>Least
profitable
quartile</c:v>
                </c:pt>
              </c:strCache>
            </c:strRef>
          </c:cat>
          <c:val>
            <c:numRef>
              <c:f>'Area VIIb-k trawlers 24-40m'!$C$165:$E$165</c:f>
              <c:numCache>
                <c:formatCode>0%</c:formatCode>
                <c:ptCount val="3"/>
                <c:pt idx="0">
                  <c:v>0</c:v>
                </c:pt>
                <c:pt idx="1">
                  <c:v>5.4726708599630379E-2</c:v>
                </c:pt>
                <c:pt idx="2">
                  <c:v>0</c:v>
                </c:pt>
              </c:numCache>
            </c:numRef>
          </c:val>
          <c:extLst>
            <c:ext xmlns:c16="http://schemas.microsoft.com/office/drawing/2014/chart" uri="{C3380CC4-5D6E-409C-BE32-E72D297353CC}">
              <c16:uniqueId val="{00000003-1EDD-4409-8710-B78A9347FE8E}"/>
            </c:ext>
          </c:extLst>
        </c:ser>
        <c:ser>
          <c:idx val="4"/>
          <c:order val="4"/>
          <c:tx>
            <c:strRef>
              <c:f>'Area VIIb-k trawlers 24-40m'!$B$166</c:f>
              <c:strCache>
                <c:ptCount val="1"/>
                <c:pt idx="0">
                  <c:v>European Flying Squid</c:v>
                </c:pt>
              </c:strCache>
            </c:strRef>
          </c:tx>
          <c:spPr>
            <a:solidFill>
              <a:srgbClr val="FED825"/>
            </a:solidFill>
            <a:ln>
              <a:solidFill>
                <a:srgbClr val="FFFFFF"/>
              </a:solidFill>
            </a:ln>
          </c:spPr>
          <c:invertIfNegative val="0"/>
          <c:cat>
            <c:strRef>
              <c:f>'Area VIIb-k trawlers 24-40m'!$C$161:$E$161</c:f>
              <c:strCache>
                <c:ptCount val="3"/>
                <c:pt idx="0">
                  <c:v>Most
profitable
quartile</c:v>
                </c:pt>
                <c:pt idx="1">
                  <c:v>Middle 
two quartiles</c:v>
                </c:pt>
                <c:pt idx="2">
                  <c:v>Least
profitable
quartile</c:v>
                </c:pt>
              </c:strCache>
            </c:strRef>
          </c:cat>
          <c:val>
            <c:numRef>
              <c:f>'Area VIIb-k trawlers 24-40m'!$C$166:$E$166</c:f>
              <c:numCache>
                <c:formatCode>0%</c:formatCode>
                <c:ptCount val="3"/>
                <c:pt idx="0">
                  <c:v>0</c:v>
                </c:pt>
                <c:pt idx="1">
                  <c:v>3.5916302026646009E-2</c:v>
                </c:pt>
                <c:pt idx="2">
                  <c:v>0</c:v>
                </c:pt>
              </c:numCache>
            </c:numRef>
          </c:val>
          <c:extLst>
            <c:ext xmlns:c16="http://schemas.microsoft.com/office/drawing/2014/chart" uri="{C3380CC4-5D6E-409C-BE32-E72D297353CC}">
              <c16:uniqueId val="{00000004-1EDD-4409-8710-B78A9347FE8E}"/>
            </c:ext>
          </c:extLst>
        </c:ser>
        <c:ser>
          <c:idx val="5"/>
          <c:order val="5"/>
          <c:tx>
            <c:strRef>
              <c:f>'Area VIIb-k trawlers 24-40m'!$B$167</c:f>
              <c:strCache>
                <c:ptCount val="1"/>
                <c:pt idx="0">
                  <c:v>Haddock</c:v>
                </c:pt>
              </c:strCache>
            </c:strRef>
          </c:tx>
          <c:spPr>
            <a:solidFill>
              <a:srgbClr val="E84A38"/>
            </a:solidFill>
            <a:ln>
              <a:solidFill>
                <a:srgbClr val="FFFFFF"/>
              </a:solidFill>
            </a:ln>
          </c:spPr>
          <c:invertIfNegative val="0"/>
          <c:cat>
            <c:strRef>
              <c:f>'Area VIIb-k trawlers 24-40m'!$C$161:$E$161</c:f>
              <c:strCache>
                <c:ptCount val="3"/>
                <c:pt idx="0">
                  <c:v>Most
profitable
quartile</c:v>
                </c:pt>
                <c:pt idx="1">
                  <c:v>Middle 
two quartiles</c:v>
                </c:pt>
                <c:pt idx="2">
                  <c:v>Least
profitable
quartile</c:v>
                </c:pt>
              </c:strCache>
            </c:strRef>
          </c:cat>
          <c:val>
            <c:numRef>
              <c:f>'Area VIIb-k trawlers 24-40m'!$C$167:$E$167</c:f>
              <c:numCache>
                <c:formatCode>0%</c:formatCode>
                <c:ptCount val="3"/>
                <c:pt idx="0">
                  <c:v>0</c:v>
                </c:pt>
                <c:pt idx="1">
                  <c:v>0</c:v>
                </c:pt>
                <c:pt idx="2">
                  <c:v>0</c:v>
                </c:pt>
              </c:numCache>
            </c:numRef>
          </c:val>
          <c:extLst>
            <c:ext xmlns:c16="http://schemas.microsoft.com/office/drawing/2014/chart" uri="{C3380CC4-5D6E-409C-BE32-E72D297353CC}">
              <c16:uniqueId val="{00000005-1EDD-4409-8710-B78A9347FE8E}"/>
            </c:ext>
          </c:extLst>
        </c:ser>
        <c:ser>
          <c:idx val="6"/>
          <c:order val="6"/>
          <c:tx>
            <c:strRef>
              <c:f>'Area VIIb-k trawlers 24-40m'!$B$168</c:f>
              <c:strCache>
                <c:ptCount val="1"/>
                <c:pt idx="0">
                  <c:v>Nephrops</c:v>
                </c:pt>
              </c:strCache>
            </c:strRef>
          </c:tx>
          <c:spPr>
            <a:solidFill>
              <a:srgbClr val="648C2E"/>
            </a:solidFill>
            <a:ln>
              <a:solidFill>
                <a:srgbClr val="FFFFFF"/>
              </a:solidFill>
            </a:ln>
          </c:spPr>
          <c:invertIfNegative val="0"/>
          <c:cat>
            <c:strRef>
              <c:f>'Area VIIb-k trawlers 24-40m'!$C$161:$E$161</c:f>
              <c:strCache>
                <c:ptCount val="3"/>
                <c:pt idx="0">
                  <c:v>Most
profitable
quartile</c:v>
                </c:pt>
                <c:pt idx="1">
                  <c:v>Middle 
two quartiles</c:v>
                </c:pt>
                <c:pt idx="2">
                  <c:v>Least
profitable
quartile</c:v>
                </c:pt>
              </c:strCache>
            </c:strRef>
          </c:cat>
          <c:val>
            <c:numRef>
              <c:f>'Area VIIb-k trawlers 24-40m'!$C$168:$E$168</c:f>
              <c:numCache>
                <c:formatCode>0%</c:formatCode>
                <c:ptCount val="3"/>
                <c:pt idx="0">
                  <c:v>0</c:v>
                </c:pt>
                <c:pt idx="1">
                  <c:v>0</c:v>
                </c:pt>
                <c:pt idx="2">
                  <c:v>0</c:v>
                </c:pt>
              </c:numCache>
            </c:numRef>
          </c:val>
          <c:extLst>
            <c:ext xmlns:c16="http://schemas.microsoft.com/office/drawing/2014/chart" uri="{C3380CC4-5D6E-409C-BE32-E72D297353CC}">
              <c16:uniqueId val="{00000006-1EDD-4409-8710-B78A9347FE8E}"/>
            </c:ext>
          </c:extLst>
        </c:ser>
        <c:ser>
          <c:idx val="7"/>
          <c:order val="7"/>
          <c:tx>
            <c:strRef>
              <c:f>'Area VIIb-k trawlers 24-40m'!$B$169</c:f>
              <c:strCache>
                <c:ptCount val="1"/>
                <c:pt idx="0">
                  <c:v>Others</c:v>
                </c:pt>
              </c:strCache>
            </c:strRef>
          </c:tx>
          <c:spPr>
            <a:solidFill>
              <a:srgbClr val="55585A"/>
            </a:solidFill>
            <a:ln>
              <a:solidFill>
                <a:srgbClr val="FFFFFF"/>
              </a:solidFill>
            </a:ln>
          </c:spPr>
          <c:invertIfNegative val="0"/>
          <c:cat>
            <c:strRef>
              <c:f>'Area VIIb-k trawlers 24-40m'!$C$161:$E$161</c:f>
              <c:strCache>
                <c:ptCount val="3"/>
                <c:pt idx="0">
                  <c:v>Most
profitable
quartile</c:v>
                </c:pt>
                <c:pt idx="1">
                  <c:v>Middle 
two quartiles</c:v>
                </c:pt>
                <c:pt idx="2">
                  <c:v>Least
profitable
quartile</c:v>
                </c:pt>
              </c:strCache>
            </c:strRef>
          </c:cat>
          <c:val>
            <c:numRef>
              <c:f>'Area VIIb-k trawlers 24-40m'!$C$169:$E$169</c:f>
              <c:numCache>
                <c:formatCode>0%</c:formatCode>
                <c:ptCount val="3"/>
                <c:pt idx="0">
                  <c:v>0</c:v>
                </c:pt>
                <c:pt idx="1">
                  <c:v>6.7692735833788653E-2</c:v>
                </c:pt>
                <c:pt idx="2">
                  <c:v>0</c:v>
                </c:pt>
              </c:numCache>
            </c:numRef>
          </c:val>
          <c:extLst>
            <c:ext xmlns:c16="http://schemas.microsoft.com/office/drawing/2014/chart" uri="{C3380CC4-5D6E-409C-BE32-E72D297353CC}">
              <c16:uniqueId val="{00000007-1EDD-4409-8710-B78A9347FE8E}"/>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'Area VIIb-k trawlers 24-40m'!$H$162</c:f>
              <c:strCache>
                <c:ptCount val="1"/>
                <c:pt idx="0">
                  <c:v>Anglerfish</c:v>
                </c:pt>
              </c:strCache>
            </c:strRef>
          </c:tx>
          <c:spPr>
            <a:solidFill>
              <a:srgbClr val="2273B9"/>
            </a:solidFill>
            <a:ln>
              <a:solidFill>
                <a:srgbClr val="FFFFFF"/>
              </a:solidFill>
            </a:ln>
          </c:spPr>
          <c:invertIfNegative val="0"/>
          <c:cat>
            <c:strRef>
              <c:f>'Area VIIb-k trawlers 24-40m'!$I$161:$K$161</c:f>
              <c:strCache>
                <c:ptCount val="3"/>
                <c:pt idx="0">
                  <c:v>Most
profitable
quartile</c:v>
                </c:pt>
                <c:pt idx="1">
                  <c:v>Middle 
two quartiles</c:v>
                </c:pt>
                <c:pt idx="2">
                  <c:v>Least
profitable
quartile</c:v>
                </c:pt>
              </c:strCache>
            </c:strRef>
          </c:cat>
          <c:val>
            <c:numRef>
              <c:f>'Area VIIb-k trawlers 24-40m'!$I$162:$K$162</c:f>
              <c:numCache>
                <c:formatCode>0%</c:formatCode>
                <c:ptCount val="3"/>
                <c:pt idx="0">
                  <c:v>0</c:v>
                </c:pt>
                <c:pt idx="1">
                  <c:v>0.53336207303275229</c:v>
                </c:pt>
                <c:pt idx="2">
                  <c:v>0</c:v>
                </c:pt>
              </c:numCache>
            </c:numRef>
          </c:val>
          <c:extLst>
            <c:ext xmlns:c16="http://schemas.microsoft.com/office/drawing/2014/chart" uri="{C3380CC4-5D6E-409C-BE32-E72D297353CC}">
              <c16:uniqueId val="{00000000-9EE5-4E07-841A-EBECA69A06D4}"/>
            </c:ext>
          </c:extLst>
        </c:ser>
        <c:ser>
          <c:idx val="1"/>
          <c:order val="1"/>
          <c:tx>
            <c:strRef>
              <c:f>'Area VIIb-k trawlers 24-40m'!$H$163</c:f>
              <c:strCache>
                <c:ptCount val="1"/>
                <c:pt idx="0">
                  <c:v>Megrim</c:v>
                </c:pt>
              </c:strCache>
            </c:strRef>
          </c:tx>
          <c:spPr>
            <a:solidFill>
              <a:srgbClr val="E87308"/>
            </a:solidFill>
            <a:ln>
              <a:solidFill>
                <a:srgbClr val="FFFFFF"/>
              </a:solidFill>
            </a:ln>
          </c:spPr>
          <c:invertIfNegative val="0"/>
          <c:cat>
            <c:strRef>
              <c:f>'Area VIIb-k trawlers 24-40m'!$I$161:$K$161</c:f>
              <c:strCache>
                <c:ptCount val="3"/>
                <c:pt idx="0">
                  <c:v>Most
profitable
quartile</c:v>
                </c:pt>
                <c:pt idx="1">
                  <c:v>Middle 
two quartiles</c:v>
                </c:pt>
                <c:pt idx="2">
                  <c:v>Least
profitable
quartile</c:v>
                </c:pt>
              </c:strCache>
            </c:strRef>
          </c:cat>
          <c:val>
            <c:numRef>
              <c:f>'Area VIIb-k trawlers 24-40m'!$I$163:$K$163</c:f>
              <c:numCache>
                <c:formatCode>0%</c:formatCode>
                <c:ptCount val="3"/>
                <c:pt idx="0">
                  <c:v>0</c:v>
                </c:pt>
                <c:pt idx="1">
                  <c:v>0.31884292047973689</c:v>
                </c:pt>
                <c:pt idx="2">
                  <c:v>0</c:v>
                </c:pt>
              </c:numCache>
            </c:numRef>
          </c:val>
          <c:extLst>
            <c:ext xmlns:c16="http://schemas.microsoft.com/office/drawing/2014/chart" uri="{C3380CC4-5D6E-409C-BE32-E72D297353CC}">
              <c16:uniqueId val="{00000001-9EE5-4E07-841A-EBECA69A06D4}"/>
            </c:ext>
          </c:extLst>
        </c:ser>
        <c:ser>
          <c:idx val="2"/>
          <c:order val="2"/>
          <c:tx>
            <c:strRef>
              <c:f>'Area VIIb-k trawlers 24-40m'!$H$164</c:f>
              <c:strCache>
                <c:ptCount val="1"/>
                <c:pt idx="0">
                  <c:v>Witch</c:v>
                </c:pt>
              </c:strCache>
            </c:strRef>
          </c:tx>
          <c:spPr>
            <a:solidFill>
              <a:srgbClr val="0F9AA9"/>
            </a:solidFill>
            <a:ln>
              <a:solidFill>
                <a:srgbClr val="FFFFFF"/>
              </a:solidFill>
            </a:ln>
          </c:spPr>
          <c:invertIfNegative val="0"/>
          <c:cat>
            <c:strRef>
              <c:f>'Area VIIb-k trawlers 24-40m'!$I$161:$K$161</c:f>
              <c:strCache>
                <c:ptCount val="3"/>
                <c:pt idx="0">
                  <c:v>Most
profitable
quartile</c:v>
                </c:pt>
                <c:pt idx="1">
                  <c:v>Middle 
two quartiles</c:v>
                </c:pt>
                <c:pt idx="2">
                  <c:v>Least
profitable
quartile</c:v>
                </c:pt>
              </c:strCache>
            </c:strRef>
          </c:cat>
          <c:val>
            <c:numRef>
              <c:f>'Area VIIb-k trawlers 24-40m'!$I$164:$K$164</c:f>
              <c:numCache>
                <c:formatCode>0%</c:formatCode>
                <c:ptCount val="3"/>
                <c:pt idx="0">
                  <c:v>0</c:v>
                </c:pt>
                <c:pt idx="1">
                  <c:v>3.7036129566629147E-2</c:v>
                </c:pt>
                <c:pt idx="2">
                  <c:v>0</c:v>
                </c:pt>
              </c:numCache>
            </c:numRef>
          </c:val>
          <c:extLst>
            <c:ext xmlns:c16="http://schemas.microsoft.com/office/drawing/2014/chart" uri="{C3380CC4-5D6E-409C-BE32-E72D297353CC}">
              <c16:uniqueId val="{00000002-9EE5-4E07-841A-EBECA69A06D4}"/>
            </c:ext>
          </c:extLst>
        </c:ser>
        <c:ser>
          <c:idx val="3"/>
          <c:order val="3"/>
          <c:tx>
            <c:strRef>
              <c:f>'Area VIIb-k trawlers 24-40m'!$H$165</c:f>
              <c:strCache>
                <c:ptCount val="1"/>
                <c:pt idx="0">
                  <c:v>European Flying Squid</c:v>
                </c:pt>
              </c:strCache>
            </c:strRef>
          </c:tx>
          <c:spPr>
            <a:solidFill>
              <a:srgbClr val="FED825"/>
            </a:solidFill>
            <a:ln>
              <a:solidFill>
                <a:srgbClr val="FFFFFF"/>
              </a:solidFill>
            </a:ln>
          </c:spPr>
          <c:invertIfNegative val="0"/>
          <c:cat>
            <c:strRef>
              <c:f>'Area VIIb-k trawlers 24-40m'!$I$161:$K$161</c:f>
              <c:strCache>
                <c:ptCount val="3"/>
                <c:pt idx="0">
                  <c:v>Most
profitable
quartile</c:v>
                </c:pt>
                <c:pt idx="1">
                  <c:v>Middle 
two quartiles</c:v>
                </c:pt>
                <c:pt idx="2">
                  <c:v>Least
profitable
quartile</c:v>
                </c:pt>
              </c:strCache>
            </c:strRef>
          </c:cat>
          <c:val>
            <c:numRef>
              <c:f>'Area VIIb-k trawlers 24-40m'!$I$165:$K$165</c:f>
              <c:numCache>
                <c:formatCode>0%</c:formatCode>
                <c:ptCount val="3"/>
                <c:pt idx="0">
                  <c:v>0</c:v>
                </c:pt>
                <c:pt idx="1">
                  <c:v>2.9695416967099385E-2</c:v>
                </c:pt>
                <c:pt idx="2">
                  <c:v>0</c:v>
                </c:pt>
              </c:numCache>
            </c:numRef>
          </c:val>
          <c:extLst>
            <c:ext xmlns:c16="http://schemas.microsoft.com/office/drawing/2014/chart" uri="{C3380CC4-5D6E-409C-BE32-E72D297353CC}">
              <c16:uniqueId val="{00000003-9EE5-4E07-841A-EBECA69A06D4}"/>
            </c:ext>
          </c:extLst>
        </c:ser>
        <c:ser>
          <c:idx val="4"/>
          <c:order val="4"/>
          <c:tx>
            <c:strRef>
              <c:f>'Area VIIb-k trawlers 24-40m'!$H$166</c:f>
              <c:strCache>
                <c:ptCount val="1"/>
                <c:pt idx="0">
                  <c:v>Hake</c:v>
                </c:pt>
              </c:strCache>
            </c:strRef>
          </c:tx>
          <c:spPr>
            <a:solidFill>
              <a:srgbClr val="C1D119"/>
            </a:solidFill>
            <a:ln>
              <a:solidFill>
                <a:srgbClr val="FFFFFF"/>
              </a:solidFill>
            </a:ln>
          </c:spPr>
          <c:invertIfNegative val="0"/>
          <c:cat>
            <c:strRef>
              <c:f>'Area VIIb-k trawlers 24-40m'!$I$161:$K$161</c:f>
              <c:strCache>
                <c:ptCount val="3"/>
                <c:pt idx="0">
                  <c:v>Most
profitable
quartile</c:v>
                </c:pt>
                <c:pt idx="1">
                  <c:v>Middle 
two quartiles</c:v>
                </c:pt>
                <c:pt idx="2">
                  <c:v>Least
profitable
quartile</c:v>
                </c:pt>
              </c:strCache>
            </c:strRef>
          </c:cat>
          <c:val>
            <c:numRef>
              <c:f>'Area VIIb-k trawlers 24-40m'!$I$166:$K$166</c:f>
              <c:numCache>
                <c:formatCode>0%</c:formatCode>
                <c:ptCount val="3"/>
                <c:pt idx="0">
                  <c:v>0</c:v>
                </c:pt>
                <c:pt idx="1">
                  <c:v>2.9600418141881864E-2</c:v>
                </c:pt>
                <c:pt idx="2">
                  <c:v>0</c:v>
                </c:pt>
              </c:numCache>
            </c:numRef>
          </c:val>
          <c:extLst>
            <c:ext xmlns:c16="http://schemas.microsoft.com/office/drawing/2014/chart" uri="{C3380CC4-5D6E-409C-BE32-E72D297353CC}">
              <c16:uniqueId val="{00000004-9EE5-4E07-841A-EBECA69A06D4}"/>
            </c:ext>
          </c:extLst>
        </c:ser>
        <c:ser>
          <c:idx val="5"/>
          <c:order val="5"/>
          <c:tx>
            <c:strRef>
              <c:f>'Area VIIb-k trawlers 24-40m'!$H$167</c:f>
              <c:strCache>
                <c:ptCount val="1"/>
                <c:pt idx="0">
                  <c:v>Nephrops</c:v>
                </c:pt>
              </c:strCache>
            </c:strRef>
          </c:tx>
          <c:spPr>
            <a:solidFill>
              <a:srgbClr val="648C2E"/>
            </a:solidFill>
            <a:ln>
              <a:solidFill>
                <a:srgbClr val="FFFFFF"/>
              </a:solidFill>
            </a:ln>
          </c:spPr>
          <c:invertIfNegative val="0"/>
          <c:cat>
            <c:strRef>
              <c:f>'Area VIIb-k trawlers 24-40m'!$I$161:$K$161</c:f>
              <c:strCache>
                <c:ptCount val="3"/>
                <c:pt idx="0">
                  <c:v>Most
profitable
quartile</c:v>
                </c:pt>
                <c:pt idx="1">
                  <c:v>Middle 
two quartiles</c:v>
                </c:pt>
                <c:pt idx="2">
                  <c:v>Least
profitable
quartile</c:v>
                </c:pt>
              </c:strCache>
            </c:strRef>
          </c:cat>
          <c:val>
            <c:numRef>
              <c:f>'Area VIIb-k trawlers 24-40m'!$I$167:$K$167</c:f>
              <c:numCache>
                <c:formatCode>0%</c:formatCode>
                <c:ptCount val="3"/>
                <c:pt idx="0">
                  <c:v>0</c:v>
                </c:pt>
                <c:pt idx="1">
                  <c:v>0</c:v>
                </c:pt>
                <c:pt idx="2">
                  <c:v>0</c:v>
                </c:pt>
              </c:numCache>
            </c:numRef>
          </c:val>
          <c:extLst>
            <c:ext xmlns:c16="http://schemas.microsoft.com/office/drawing/2014/chart" uri="{C3380CC4-5D6E-409C-BE32-E72D297353CC}">
              <c16:uniqueId val="{00000005-9EE5-4E07-841A-EBECA69A06D4}"/>
            </c:ext>
          </c:extLst>
        </c:ser>
        <c:ser>
          <c:idx val="6"/>
          <c:order val="6"/>
          <c:tx>
            <c:strRef>
              <c:f>'Area VIIb-k trawlers 24-40m'!$H$168</c:f>
              <c:strCache>
                <c:ptCount val="1"/>
                <c:pt idx="0">
                  <c:v>Haddock</c:v>
                </c:pt>
              </c:strCache>
            </c:strRef>
          </c:tx>
          <c:spPr>
            <a:solidFill>
              <a:srgbClr val="E84A38"/>
            </a:solidFill>
            <a:ln>
              <a:solidFill>
                <a:srgbClr val="FFFFFF"/>
              </a:solidFill>
            </a:ln>
          </c:spPr>
          <c:invertIfNegative val="0"/>
          <c:cat>
            <c:strRef>
              <c:f>'Area VIIb-k trawlers 24-40m'!$I$161:$K$161</c:f>
              <c:strCache>
                <c:ptCount val="3"/>
                <c:pt idx="0">
                  <c:v>Most
profitable
quartile</c:v>
                </c:pt>
                <c:pt idx="1">
                  <c:v>Middle 
two quartiles</c:v>
                </c:pt>
                <c:pt idx="2">
                  <c:v>Least
profitable
quartile</c:v>
                </c:pt>
              </c:strCache>
            </c:strRef>
          </c:cat>
          <c:val>
            <c:numRef>
              <c:f>'Area VIIb-k trawlers 24-40m'!$I$168:$K$168</c:f>
              <c:numCache>
                <c:formatCode>0%</c:formatCode>
                <c:ptCount val="3"/>
                <c:pt idx="0">
                  <c:v>0</c:v>
                </c:pt>
                <c:pt idx="1">
                  <c:v>0</c:v>
                </c:pt>
                <c:pt idx="2">
                  <c:v>0</c:v>
                </c:pt>
              </c:numCache>
            </c:numRef>
          </c:val>
          <c:extLst>
            <c:ext xmlns:c16="http://schemas.microsoft.com/office/drawing/2014/chart" uri="{C3380CC4-5D6E-409C-BE32-E72D297353CC}">
              <c16:uniqueId val="{00000006-9EE5-4E07-841A-EBECA69A06D4}"/>
            </c:ext>
          </c:extLst>
        </c:ser>
        <c:ser>
          <c:idx val="7"/>
          <c:order val="7"/>
          <c:tx>
            <c:strRef>
              <c:f>'Area VIIb-k trawlers 24-40m'!$H$169</c:f>
              <c:strCache>
                <c:ptCount val="1"/>
                <c:pt idx="0">
                  <c:v>John Dory</c:v>
                </c:pt>
              </c:strCache>
            </c:strRef>
          </c:tx>
          <c:spPr>
            <a:solidFill>
              <a:srgbClr val="707271"/>
            </a:solidFill>
            <a:ln>
              <a:solidFill>
                <a:srgbClr val="FFFFFF"/>
              </a:solidFill>
            </a:ln>
          </c:spPr>
          <c:invertIfNegative val="0"/>
          <c:cat>
            <c:strRef>
              <c:f>'Area VIIb-k trawlers 24-40m'!$I$161:$K$161</c:f>
              <c:strCache>
                <c:ptCount val="3"/>
                <c:pt idx="0">
                  <c:v>Most
profitable
quartile</c:v>
                </c:pt>
                <c:pt idx="1">
                  <c:v>Middle 
two quartiles</c:v>
                </c:pt>
                <c:pt idx="2">
                  <c:v>Least
profitable
quartile</c:v>
                </c:pt>
              </c:strCache>
            </c:strRef>
          </c:cat>
          <c:val>
            <c:numRef>
              <c:f>'Area VIIb-k trawlers 24-40m'!$I$169:$K$169</c:f>
              <c:numCache>
                <c:formatCode>0%</c:formatCode>
                <c:ptCount val="3"/>
                <c:pt idx="0">
                  <c:v>0</c:v>
                </c:pt>
                <c:pt idx="1">
                  <c:v>0</c:v>
                </c:pt>
                <c:pt idx="2">
                  <c:v>0</c:v>
                </c:pt>
              </c:numCache>
            </c:numRef>
          </c:val>
          <c:extLst>
            <c:ext xmlns:c16="http://schemas.microsoft.com/office/drawing/2014/chart" uri="{C3380CC4-5D6E-409C-BE32-E72D297353CC}">
              <c16:uniqueId val="{00000007-9EE5-4E07-841A-EBECA69A06D4}"/>
            </c:ext>
          </c:extLst>
        </c:ser>
        <c:ser>
          <c:idx val="8"/>
          <c:order val="8"/>
          <c:tx>
            <c:strRef>
              <c:f>'Area VIIb-k trawlers 24-40m'!$H$170</c:f>
              <c:strCache>
                <c:ptCount val="1"/>
                <c:pt idx="0">
                  <c:v>Squid</c:v>
                </c:pt>
              </c:strCache>
            </c:strRef>
          </c:tx>
          <c:spPr>
            <a:solidFill>
              <a:srgbClr val="51AA81"/>
            </a:solidFill>
            <a:ln>
              <a:solidFill>
                <a:srgbClr val="FFFFFF"/>
              </a:solidFill>
            </a:ln>
          </c:spPr>
          <c:invertIfNegative val="0"/>
          <c:cat>
            <c:strRef>
              <c:f>'Area VIIb-k trawlers 24-40m'!$I$161:$K$161</c:f>
              <c:strCache>
                <c:ptCount val="3"/>
                <c:pt idx="0">
                  <c:v>Most
profitable
quartile</c:v>
                </c:pt>
                <c:pt idx="1">
                  <c:v>Middle 
two quartiles</c:v>
                </c:pt>
                <c:pt idx="2">
                  <c:v>Least
profitable
quartile</c:v>
                </c:pt>
              </c:strCache>
            </c:strRef>
          </c:cat>
          <c:val>
            <c:numRef>
              <c:f>'Area VIIb-k trawlers 24-40m'!$I$170:$K$170</c:f>
              <c:numCache>
                <c:formatCode>0%</c:formatCode>
                <c:ptCount val="3"/>
                <c:pt idx="0">
                  <c:v>0</c:v>
                </c:pt>
                <c:pt idx="1">
                  <c:v>0</c:v>
                </c:pt>
                <c:pt idx="2">
                  <c:v>0</c:v>
                </c:pt>
              </c:numCache>
            </c:numRef>
          </c:val>
          <c:extLst>
            <c:ext xmlns:c16="http://schemas.microsoft.com/office/drawing/2014/chart" uri="{C3380CC4-5D6E-409C-BE32-E72D297353CC}">
              <c16:uniqueId val="{00000008-9EE5-4E07-841A-EBECA69A06D4}"/>
            </c:ext>
          </c:extLst>
        </c:ser>
        <c:ser>
          <c:idx val="9"/>
          <c:order val="9"/>
          <c:tx>
            <c:strRef>
              <c:f>'Area VIIb-k trawlers 24-40m'!$H$171</c:f>
              <c:strCache>
                <c:ptCount val="1"/>
                <c:pt idx="0">
                  <c:v>Others</c:v>
                </c:pt>
              </c:strCache>
            </c:strRef>
          </c:tx>
          <c:spPr>
            <a:solidFill>
              <a:srgbClr val="55585A"/>
            </a:solidFill>
            <a:ln>
              <a:solidFill>
                <a:srgbClr val="FFFFFF"/>
              </a:solidFill>
            </a:ln>
          </c:spPr>
          <c:invertIfNegative val="0"/>
          <c:cat>
            <c:strRef>
              <c:f>'Area VIIb-k trawlers 24-40m'!$I$161:$K$161</c:f>
              <c:strCache>
                <c:ptCount val="3"/>
                <c:pt idx="0">
                  <c:v>Most
profitable
quartile</c:v>
                </c:pt>
                <c:pt idx="1">
                  <c:v>Middle 
two quartiles</c:v>
                </c:pt>
                <c:pt idx="2">
                  <c:v>Least
profitable
quartile</c:v>
                </c:pt>
              </c:strCache>
            </c:strRef>
          </c:cat>
          <c:val>
            <c:numRef>
              <c:f>'Area VIIb-k trawlers 24-40m'!$I$171:$K$171</c:f>
              <c:numCache>
                <c:formatCode>0%</c:formatCode>
                <c:ptCount val="3"/>
                <c:pt idx="0">
                  <c:v>0</c:v>
                </c:pt>
                <c:pt idx="1">
                  <c:v>5.1463041811900423E-2</c:v>
                </c:pt>
                <c:pt idx="2">
                  <c:v>0</c:v>
                </c:pt>
              </c:numCache>
            </c:numRef>
          </c:val>
          <c:extLst>
            <c:ext xmlns:c16="http://schemas.microsoft.com/office/drawing/2014/chart" uri="{C3380CC4-5D6E-409C-BE32-E72D297353CC}">
              <c16:uniqueId val="{00000009-9EE5-4E07-841A-EBECA69A06D4}"/>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'Area VIIb-k trawlers 24-40m'!$K$139</c:f>
              <c:strCache>
                <c:ptCount val="1"/>
                <c:pt idx="0">
                  <c:v>Total income</c:v>
                </c:pt>
              </c:strCache>
            </c:strRef>
          </c:tx>
          <c:spPr>
            <a:solidFill>
              <a:srgbClr val="087CBB"/>
            </a:solidFill>
            <a:ln>
              <a:solidFill>
                <a:schemeClr val="accent1"/>
              </a:solidFill>
            </a:ln>
          </c:spPr>
          <c:invertIfNegative val="0"/>
          <c:cat>
            <c:strRef>
              <c:f>'Area VIIb-k trawlers 24-40m'!$L$138:$N$138</c:f>
              <c:strCache>
                <c:ptCount val="3"/>
                <c:pt idx="0">
                  <c:v>Most
profitable
quartile</c:v>
                </c:pt>
                <c:pt idx="1">
                  <c:v>Middle
two quartiles</c:v>
                </c:pt>
                <c:pt idx="2">
                  <c:v>Least
profitable
quartile</c:v>
                </c:pt>
              </c:strCache>
            </c:strRef>
          </c:cat>
          <c:val>
            <c:numRef>
              <c:f>'Area VIIb-k trawlers 24-40m'!$L$139:$N$139</c:f>
              <c:numCache>
                <c:formatCode>#,##0</c:formatCode>
                <c:ptCount val="3"/>
                <c:pt idx="0">
                  <c:v>0</c:v>
                </c:pt>
                <c:pt idx="1">
                  <c:v>1748.8498125000001</c:v>
                </c:pt>
                <c:pt idx="2">
                  <c:v>0</c:v>
                </c:pt>
              </c:numCache>
            </c:numRef>
          </c:val>
          <c:extLst>
            <c:ext xmlns:c16="http://schemas.microsoft.com/office/drawing/2014/chart" uri="{C3380CC4-5D6E-409C-BE32-E72D297353CC}">
              <c16:uniqueId val="{00000000-45F0-4D17-9CC3-3A59288B73B5}"/>
            </c:ext>
          </c:extLst>
        </c:ser>
        <c:ser>
          <c:idx val="1"/>
          <c:order val="1"/>
          <c:tx>
            <c:strRef>
              <c:f>'Area VIIb-k trawlers 24-40m'!$K$140</c:f>
              <c:strCache>
                <c:ptCount val="1"/>
                <c:pt idx="0">
                  <c:v>Operating costs</c:v>
                </c:pt>
              </c:strCache>
            </c:strRef>
          </c:tx>
          <c:spPr>
            <a:solidFill>
              <a:srgbClr val="E87308"/>
            </a:solidFill>
          </c:spPr>
          <c:invertIfNegative val="0"/>
          <c:cat>
            <c:strRef>
              <c:f>'Area VIIb-k trawlers 24-40m'!$L$138:$N$138</c:f>
              <c:strCache>
                <c:ptCount val="3"/>
                <c:pt idx="0">
                  <c:v>Most
profitable
quartile</c:v>
                </c:pt>
                <c:pt idx="1">
                  <c:v>Middle
two quartiles</c:v>
                </c:pt>
                <c:pt idx="2">
                  <c:v>Least
profitable
quartile</c:v>
                </c:pt>
              </c:strCache>
            </c:strRef>
          </c:cat>
          <c:val>
            <c:numRef>
              <c:f>'Area VIIb-k trawlers 24-40m'!$L$140:$N$140</c:f>
              <c:numCache>
                <c:formatCode>#,##0</c:formatCode>
                <c:ptCount val="3"/>
                <c:pt idx="0">
                  <c:v>0</c:v>
                </c:pt>
                <c:pt idx="1">
                  <c:v>1644.3163750000001</c:v>
                </c:pt>
                <c:pt idx="2">
                  <c:v>0</c:v>
                </c:pt>
              </c:numCache>
            </c:numRef>
          </c:val>
          <c:extLst>
            <c:ext xmlns:c16="http://schemas.microsoft.com/office/drawing/2014/chart" uri="{C3380CC4-5D6E-409C-BE32-E72D297353CC}">
              <c16:uniqueId val="{00000001-45F0-4D17-9CC3-3A59288B73B5}"/>
            </c:ext>
          </c:extLst>
        </c:ser>
        <c:ser>
          <c:idx val="2"/>
          <c:order val="2"/>
          <c:tx>
            <c:strRef>
              <c:f>'Area VIIb-k trawlers 24-40m'!$K$141</c:f>
              <c:strCache>
                <c:ptCount val="1"/>
                <c:pt idx="0">
                  <c:v>Operating profit</c:v>
                </c:pt>
              </c:strCache>
            </c:strRef>
          </c:tx>
          <c:spPr>
            <a:solidFill>
              <a:srgbClr val="51AA81"/>
            </a:solidFill>
          </c:spPr>
          <c:invertIfNegative val="0"/>
          <c:cat>
            <c:strRef>
              <c:f>'Area VIIb-k trawlers 24-40m'!$L$138:$N$138</c:f>
              <c:strCache>
                <c:ptCount val="3"/>
                <c:pt idx="0">
                  <c:v>Most
profitable
quartile</c:v>
                </c:pt>
                <c:pt idx="1">
                  <c:v>Middle
two quartiles</c:v>
                </c:pt>
                <c:pt idx="2">
                  <c:v>Least
profitable
quartile</c:v>
                </c:pt>
              </c:strCache>
            </c:strRef>
          </c:cat>
          <c:val>
            <c:numRef>
              <c:f>'Area VIIb-k trawlers 24-40m'!$L$141:$N$141</c:f>
              <c:numCache>
                <c:formatCode>#,##0</c:formatCode>
                <c:ptCount val="3"/>
                <c:pt idx="0">
                  <c:v>0</c:v>
                </c:pt>
                <c:pt idx="1">
                  <c:v>104.53343750000001</c:v>
                </c:pt>
                <c:pt idx="2">
                  <c:v>0</c:v>
                </c:pt>
              </c:numCache>
            </c:numRef>
          </c:val>
          <c:extLst>
            <c:ext xmlns:c16="http://schemas.microsoft.com/office/drawing/2014/chart" uri="{C3380CC4-5D6E-409C-BE32-E72D297353CC}">
              <c16:uniqueId val="{00000002-45F0-4D17-9CC3-3A59288B73B5}"/>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'Area VIIb-k trawlers 24-40m'!$K$142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10-24m'!$A$48</c:f>
          <c:strCache>
            <c:ptCount val="1"/>
            <c:pt idx="0">
              <c:v>Landings per kW day at sea (kg)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D6FA-4502-8C0C-E001ADAF441F}"/>
              </c:ext>
            </c:extLst>
          </c:dPt>
          <c:dPt>
            <c:idx val="10"/>
            <c:bubble3D val="0"/>
            <c:spPr>
              <a:ln w="57150">
                <a:solidFill>
                  <a:srgbClr val="2273B9"/>
                </a:solidFill>
                <a:prstDash val="sysDot"/>
              </a:ln>
            </c:spPr>
            <c:extLst>
              <c:ext xmlns:c16="http://schemas.microsoft.com/office/drawing/2014/chart" uri="{C3380CC4-5D6E-409C-BE32-E72D297353CC}">
                <c16:uniqueId val="{00000003-D6FA-4502-8C0C-E001ADAF441F}"/>
              </c:ext>
            </c:extLst>
          </c:dPt>
          <c:cat>
            <c:numRef>
              <c:f>'Area VIIb-k trawlers 10-24m'!$D$2:$N$2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'Area VIIb-k trawlers 10-24m'!$D$21:$N$21</c:f>
              <c:numCache>
                <c:formatCode>#,##0.00</c:formatCode>
                <c:ptCount val="11"/>
                <c:pt idx="0">
                  <c:v>4.5121917453542446</c:v>
                </c:pt>
                <c:pt idx="1">
                  <c:v>5.4069471207733537</c:v>
                </c:pt>
                <c:pt idx="2">
                  <c:v>4.8627880970355344</c:v>
                </c:pt>
                <c:pt idx="3">
                  <c:v>4.6352351020909133</c:v>
                </c:pt>
                <c:pt idx="4">
                  <c:v>4.1739023554721326</c:v>
                </c:pt>
                <c:pt idx="5">
                  <c:v>4.1467510436355912</c:v>
                </c:pt>
                <c:pt idx="6">
                  <c:v>4.2156214249006103</c:v>
                </c:pt>
                <c:pt idx="7">
                  <c:v>3.6837811926186395</c:v>
                </c:pt>
                <c:pt idx="8">
                  <c:v>3.5522653556133599</c:v>
                </c:pt>
                <c:pt idx="9">
                  <c:v>3.2917524396437527</c:v>
                </c:pt>
                <c:pt idx="10">
                  <c:v>2.685222957052757</c:v>
                </c:pt>
              </c:numCache>
            </c:numRef>
          </c:val>
          <c:smooth val="0"/>
          <c:extLst>
            <c:ext xmlns:c16="http://schemas.microsoft.com/office/drawing/2014/chart" uri="{C3380CC4-5D6E-409C-BE32-E72D297353CC}">
              <c16:uniqueId val="{00000004-D6FA-4502-8C0C-E001ADAF441F}"/>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trawl'!$A$50</c:f>
          <c:strCache>
            <c:ptCount val="1"/>
            <c:pt idx="0">
              <c:v>Average price per tonne landed (£)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E3C1-43E3-AF1D-4420431FEE38}"/>
              </c:ext>
            </c:extLst>
          </c:dPt>
          <c:dPt>
            <c:idx val="10"/>
            <c:bubble3D val="0"/>
            <c:spPr>
              <a:ln w="57150">
                <a:solidFill>
                  <a:schemeClr val="accent4"/>
                </a:solidFill>
                <a:prstDash val="sysDot"/>
              </a:ln>
            </c:spPr>
            <c:extLst>
              <c:ext xmlns:c16="http://schemas.microsoft.com/office/drawing/2014/chart" uri="{C3380CC4-5D6E-409C-BE32-E72D297353CC}">
                <c16:uniqueId val="{00000003-E3C1-43E3-AF1D-4420431FEE38}"/>
              </c:ext>
            </c:extLst>
          </c:dPt>
          <c:cat>
            <c:numRef>
              <c:f>'Area VIIa demersal trawl'!$D$2:$M$2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demersal trawl'!$D$20:$N$20</c:f>
              <c:numCache>
                <c:formatCode>#,##0</c:formatCode>
                <c:ptCount val="11"/>
                <c:pt idx="0">
                  <c:v>1790</c:v>
                </c:pt>
                <c:pt idx="1">
                  <c:v>919</c:v>
                </c:pt>
                <c:pt idx="2">
                  <c:v>1385</c:v>
                </c:pt>
                <c:pt idx="3">
                  <c:v>1942</c:v>
                </c:pt>
                <c:pt idx="4">
                  <c:v>1750</c:v>
                </c:pt>
                <c:pt idx="5">
                  <c:v>2238</c:v>
                </c:pt>
                <c:pt idx="6">
                  <c:v>2306</c:v>
                </c:pt>
                <c:pt idx="7">
                  <c:v>1862</c:v>
                </c:pt>
                <c:pt idx="8">
                  <c:v>2060</c:v>
                </c:pt>
                <c:pt idx="9">
                  <c:v>1609</c:v>
                </c:pt>
                <c:pt idx="10">
                  <c:v>1440</c:v>
                </c:pt>
              </c:numCache>
            </c:numRef>
          </c:val>
          <c:smooth val="0"/>
          <c:extLst>
            <c:ext xmlns:c16="http://schemas.microsoft.com/office/drawing/2014/chart" uri="{C3380CC4-5D6E-409C-BE32-E72D297353CC}">
              <c16:uniqueId val="{00000004-E3C1-43E3-AF1D-4420431FEE38}"/>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10-24m'!$A$49</c:f>
          <c:strCache>
            <c:ptCount val="1"/>
            <c:pt idx="0">
              <c:v>Fishing income per kW day at sea (£)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4562-4915-B72D-953DA78CC3E8}"/>
              </c:ext>
            </c:extLst>
          </c:dPt>
          <c:dPt>
            <c:idx val="10"/>
            <c:bubble3D val="0"/>
            <c:spPr>
              <a:ln w="57150">
                <a:solidFill>
                  <a:srgbClr val="648C2E"/>
                </a:solidFill>
                <a:prstDash val="sysDot"/>
              </a:ln>
            </c:spPr>
            <c:extLst>
              <c:ext xmlns:c16="http://schemas.microsoft.com/office/drawing/2014/chart" uri="{C3380CC4-5D6E-409C-BE32-E72D297353CC}">
                <c16:uniqueId val="{00000003-4562-4915-B72D-953DA78CC3E8}"/>
              </c:ext>
            </c:extLst>
          </c:dPt>
          <c:cat>
            <c:numRef>
              <c:f>'Area VIIb-k trawlers 10-24m'!$D$2:$N$2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'Area VIIb-k trawlers 10-24m'!$D$22:$N$22</c:f>
              <c:numCache>
                <c:formatCode>#,##0.00</c:formatCode>
                <c:ptCount val="11"/>
                <c:pt idx="0">
                  <c:v>8.0757570684901694</c:v>
                </c:pt>
                <c:pt idx="1">
                  <c:v>8.4399566347937007</c:v>
                </c:pt>
                <c:pt idx="2">
                  <c:v>8.1595066594261905</c:v>
                </c:pt>
                <c:pt idx="3">
                  <c:v>8.2478952201028193</c:v>
                </c:pt>
                <c:pt idx="4">
                  <c:v>7.7256715638847098</c:v>
                </c:pt>
                <c:pt idx="5">
                  <c:v>7.61272196633709</c:v>
                </c:pt>
                <c:pt idx="6">
                  <c:v>9.06014646801186</c:v>
                </c:pt>
                <c:pt idx="7">
                  <c:v>6.7771902521243401</c:v>
                </c:pt>
                <c:pt idx="8">
                  <c:v>7.3425767708810303</c:v>
                </c:pt>
                <c:pt idx="9">
                  <c:v>5.7085954161489596</c:v>
                </c:pt>
                <c:pt idx="10">
                  <c:v>6.4064639128954957</c:v>
                </c:pt>
              </c:numCache>
            </c:numRef>
          </c:val>
          <c:smooth val="0"/>
          <c:extLst>
            <c:ext xmlns:c16="http://schemas.microsoft.com/office/drawing/2014/chart" uri="{C3380CC4-5D6E-409C-BE32-E72D297353CC}">
              <c16:uniqueId val="{00000004-4562-4915-B72D-953DA78CC3E8}"/>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10-24m'!$B$62</c:f>
          <c:strCache>
            <c:ptCount val="1"/>
            <c:pt idx="0">
              <c:v>Total cost per kW day at sea (£)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1FC8-4717-B5B0-033FC9190C55}"/>
              </c:ext>
            </c:extLst>
          </c:dPt>
          <c:dPt>
            <c:idx val="10"/>
            <c:bubble3D val="0"/>
            <c:spPr>
              <a:ln w="57150">
                <a:solidFill>
                  <a:srgbClr val="087CBB"/>
                </a:solidFill>
                <a:prstDash val="sysDot"/>
              </a:ln>
            </c:spPr>
            <c:extLst>
              <c:ext xmlns:c16="http://schemas.microsoft.com/office/drawing/2014/chart" uri="{C3380CC4-5D6E-409C-BE32-E72D297353CC}">
                <c16:uniqueId val="{00000003-1FC8-4717-B5B0-033FC9190C55}"/>
              </c:ext>
            </c:extLst>
          </c:dPt>
          <c:cat>
            <c:numRef>
              <c:f>'Area VIIb-k trawlers 10-24m'!$D$2:$N$2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'Area VIIb-k trawlers 10-24m'!$D$23:$N$23</c:f>
              <c:numCache>
                <c:formatCode>#,##0.00</c:formatCode>
                <c:ptCount val="11"/>
                <c:pt idx="0">
                  <c:v>7.7644104920452897</c:v>
                </c:pt>
                <c:pt idx="1">
                  <c:v>7.1749638212710298</c:v>
                </c:pt>
                <c:pt idx="2">
                  <c:v>6.8826078212798301</c:v>
                </c:pt>
                <c:pt idx="3">
                  <c:v>6.3684357439691501</c:v>
                </c:pt>
                <c:pt idx="4">
                  <c:v>6.2230784293765904</c:v>
                </c:pt>
                <c:pt idx="5">
                  <c:v>5.2204301828511799</c:v>
                </c:pt>
                <c:pt idx="6">
                  <c:v>6.4924319179510199</c:v>
                </c:pt>
                <c:pt idx="7">
                  <c:v>5.6028617309091899</c:v>
                </c:pt>
                <c:pt idx="8">
                  <c:v>6.0331319060067701</c:v>
                </c:pt>
                <c:pt idx="9">
                  <c:v>5.2173286446012002</c:v>
                </c:pt>
                <c:pt idx="10">
                  <c:v>5.4875384125793945</c:v>
                </c:pt>
              </c:numCache>
            </c:numRef>
          </c:val>
          <c:smooth val="0"/>
          <c:extLst>
            <c:ext xmlns:c16="http://schemas.microsoft.com/office/drawing/2014/chart" uri="{C3380CC4-5D6E-409C-BE32-E72D297353CC}">
              <c16:uniqueId val="{00000004-1FC8-4717-B5B0-033FC9190C55}"/>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10-24m'!$K$48</c:f>
          <c:strCache>
            <c:ptCount val="1"/>
            <c:pt idx="0">
              <c:v>Operating profit per kW day at sea (£)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D2CE-4BFA-B8ED-75217F1E82EA}"/>
              </c:ext>
            </c:extLst>
          </c:dPt>
          <c:dPt>
            <c:idx val="10"/>
            <c:bubble3D val="0"/>
            <c:spPr>
              <a:ln w="57150">
                <a:solidFill>
                  <a:schemeClr val="accent3"/>
                </a:solidFill>
                <a:prstDash val="sysDot"/>
              </a:ln>
            </c:spPr>
            <c:extLst>
              <c:ext xmlns:c16="http://schemas.microsoft.com/office/drawing/2014/chart" uri="{C3380CC4-5D6E-409C-BE32-E72D297353CC}">
                <c16:uniqueId val="{00000003-D2CE-4BFA-B8ED-75217F1E82EA}"/>
              </c:ext>
            </c:extLst>
          </c:dPt>
          <c:cat>
            <c:numRef>
              <c:f>'Area VIIb-k trawlers 10-24m'!$D$2:$N$2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'Area VIIb-k trawlers 10-24m'!$D$24:$N$24</c:f>
              <c:numCache>
                <c:formatCode>#,##0.00</c:formatCode>
                <c:ptCount val="11"/>
                <c:pt idx="0">
                  <c:v>0.31134657644487701</c:v>
                </c:pt>
                <c:pt idx="1">
                  <c:v>1.6532884124379601</c:v>
                </c:pt>
                <c:pt idx="2">
                  <c:v>1.37379834495631</c:v>
                </c:pt>
                <c:pt idx="3">
                  <c:v>1.95813614158539</c:v>
                </c:pt>
                <c:pt idx="4">
                  <c:v>1.7216227572387199</c:v>
                </c:pt>
                <c:pt idx="5">
                  <c:v>2.5142863170110101</c:v>
                </c:pt>
                <c:pt idx="6">
                  <c:v>2.76933379782685</c:v>
                </c:pt>
                <c:pt idx="7">
                  <c:v>1.66655026496188</c:v>
                </c:pt>
                <c:pt idx="8">
                  <c:v>1.75194571566976</c:v>
                </c:pt>
                <c:pt idx="9">
                  <c:v>1.0532508746916001</c:v>
                </c:pt>
                <c:pt idx="10">
                  <c:v>1.1326143063368479</c:v>
                </c:pt>
              </c:numCache>
            </c:numRef>
          </c:val>
          <c:smooth val="0"/>
          <c:extLst>
            <c:ext xmlns:c16="http://schemas.microsoft.com/office/drawing/2014/chart" uri="{C3380CC4-5D6E-409C-BE32-E72D297353CC}">
              <c16:uniqueId val="{00000004-D2CE-4BFA-B8ED-75217F1E82EA}"/>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10-24m'!$A$50</c:f>
          <c:strCache>
            <c:ptCount val="1"/>
            <c:pt idx="0">
              <c:v>Average price per tonne landed (£)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3736-423D-9035-53A98C8364BC}"/>
              </c:ext>
            </c:extLst>
          </c:dPt>
          <c:dPt>
            <c:idx val="10"/>
            <c:bubble3D val="0"/>
            <c:spPr>
              <a:ln w="57150">
                <a:solidFill>
                  <a:schemeClr val="accent4"/>
                </a:solidFill>
                <a:prstDash val="sysDot"/>
              </a:ln>
            </c:spPr>
            <c:extLst>
              <c:ext xmlns:c16="http://schemas.microsoft.com/office/drawing/2014/chart" uri="{C3380CC4-5D6E-409C-BE32-E72D297353CC}">
                <c16:uniqueId val="{00000003-3736-423D-9035-53A98C8364BC}"/>
              </c:ext>
            </c:extLst>
          </c:dPt>
          <c:cat>
            <c:numRef>
              <c:f>'Area VIIb-k trawlers 10-24m'!$D$2:$M$2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10-24m'!$D$20:$N$20</c:f>
              <c:numCache>
                <c:formatCode>#,##0</c:formatCode>
                <c:ptCount val="11"/>
                <c:pt idx="0">
                  <c:v>1790</c:v>
                </c:pt>
                <c:pt idx="1">
                  <c:v>1561</c:v>
                </c:pt>
                <c:pt idx="2">
                  <c:v>1678</c:v>
                </c:pt>
                <c:pt idx="3">
                  <c:v>1779</c:v>
                </c:pt>
                <c:pt idx="4">
                  <c:v>1851</c:v>
                </c:pt>
                <c:pt idx="5">
                  <c:v>1836</c:v>
                </c:pt>
                <c:pt idx="6">
                  <c:v>2149</c:v>
                </c:pt>
                <c:pt idx="7">
                  <c:v>1840</c:v>
                </c:pt>
                <c:pt idx="8">
                  <c:v>2067</c:v>
                </c:pt>
                <c:pt idx="9">
                  <c:v>1734</c:v>
                </c:pt>
                <c:pt idx="10">
                  <c:v>2386</c:v>
                </c:pt>
              </c:numCache>
            </c:numRef>
          </c:val>
          <c:smooth val="0"/>
          <c:extLst>
            <c:ext xmlns:c16="http://schemas.microsoft.com/office/drawing/2014/chart" uri="{C3380CC4-5D6E-409C-BE32-E72D297353CC}">
              <c16:uniqueId val="{00000004-3736-423D-9035-53A98C8364BC}"/>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10-24m'!$K$62</c:f>
          <c:strCache>
            <c:ptCount val="1"/>
            <c:pt idx="0">
              <c:v>Average annual operating profit per vessel (£'000)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5770-4FC1-A44B-4EB41DB013A4}"/>
              </c:ext>
            </c:extLst>
          </c:dPt>
          <c:dPt>
            <c:idx val="10"/>
            <c:bubble3D val="0"/>
            <c:spPr>
              <a:ln w="57150">
                <a:solidFill>
                  <a:schemeClr val="accent5"/>
                </a:solidFill>
                <a:prstDash val="sysDot"/>
              </a:ln>
            </c:spPr>
            <c:extLst>
              <c:ext xmlns:c16="http://schemas.microsoft.com/office/drawing/2014/chart" uri="{C3380CC4-5D6E-409C-BE32-E72D297353CC}">
                <c16:uniqueId val="{00000003-5770-4FC1-A44B-4EB41DB013A4}"/>
              </c:ext>
            </c:extLst>
          </c:dPt>
          <c:cat>
            <c:numRef>
              <c:f>'Area VIIb-k trawlers 10-24m'!$D$2:$M$2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VIIb-k trawlers 10-24m'!$D$37:$N$37</c:f>
              <c:numCache>
                <c:formatCode>#,##0.0</c:formatCode>
                <c:ptCount val="11"/>
                <c:pt idx="0">
                  <c:v>10.7</c:v>
                </c:pt>
                <c:pt idx="1">
                  <c:v>57.7</c:v>
                </c:pt>
                <c:pt idx="2">
                  <c:v>46.3</c:v>
                </c:pt>
                <c:pt idx="3">
                  <c:v>64.599999999999994</c:v>
                </c:pt>
                <c:pt idx="4">
                  <c:v>53</c:v>
                </c:pt>
                <c:pt idx="5">
                  <c:v>92.2</c:v>
                </c:pt>
                <c:pt idx="6">
                  <c:v>90.8</c:v>
                </c:pt>
                <c:pt idx="7">
                  <c:v>52</c:v>
                </c:pt>
                <c:pt idx="8">
                  <c:v>53.6</c:v>
                </c:pt>
                <c:pt idx="9">
                  <c:v>27.9</c:v>
                </c:pt>
                <c:pt idx="10">
                  <c:v>35.800000000000004</c:v>
                </c:pt>
              </c:numCache>
            </c:numRef>
          </c:val>
          <c:smooth val="0"/>
          <c:extLst>
            <c:ext xmlns:c16="http://schemas.microsoft.com/office/drawing/2014/chart" uri="{C3380CC4-5D6E-409C-BE32-E72D297353CC}">
              <c16:uniqueId val="{00000004-5770-4FC1-A44B-4EB41DB013A4}"/>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10-24m'!$A$76</c:f>
          <c:strCache>
            <c:ptCount val="1"/>
            <c:pt idx="0">
              <c:v>Top 5 landed species by volume in 2020
Area VIIBCDEFGHK trawlers 10-24m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0F9AA9"/>
              </a:solidFill>
              <a:ln>
                <a:solidFill>
                  <a:srgbClr val="FFFFFF"/>
                </a:solidFill>
              </a:ln>
            </c:spPr>
            <c:extLst>
              <c:ext xmlns:c16="http://schemas.microsoft.com/office/drawing/2014/chart" uri="{C3380CC4-5D6E-409C-BE32-E72D297353CC}">
                <c16:uniqueId val="{00000001-212E-4411-8ECF-A35612DC6370}"/>
              </c:ext>
            </c:extLst>
          </c:dPt>
          <c:dPt>
            <c:idx val="1"/>
            <c:bubble3D val="0"/>
            <c:spPr>
              <a:solidFill>
                <a:srgbClr val="2273B9"/>
              </a:solidFill>
              <a:ln>
                <a:solidFill>
                  <a:srgbClr val="FFFFFF"/>
                </a:solidFill>
              </a:ln>
            </c:spPr>
            <c:extLst>
              <c:ext xmlns:c16="http://schemas.microsoft.com/office/drawing/2014/chart" uri="{C3380CC4-5D6E-409C-BE32-E72D297353CC}">
                <c16:uniqueId val="{00000003-212E-4411-8ECF-A35612DC6370}"/>
              </c:ext>
            </c:extLst>
          </c:dPt>
          <c:dPt>
            <c:idx val="2"/>
            <c:bubble3D val="0"/>
            <c:spPr>
              <a:solidFill>
                <a:srgbClr val="FED825"/>
              </a:solidFill>
              <a:ln>
                <a:solidFill>
                  <a:srgbClr val="FFFFFF"/>
                </a:solidFill>
              </a:ln>
            </c:spPr>
            <c:extLst>
              <c:ext xmlns:c16="http://schemas.microsoft.com/office/drawing/2014/chart" uri="{C3380CC4-5D6E-409C-BE32-E72D297353CC}">
                <c16:uniqueId val="{00000005-212E-4411-8ECF-A35612DC6370}"/>
              </c:ext>
            </c:extLst>
          </c:dPt>
          <c:dPt>
            <c:idx val="3"/>
            <c:bubble3D val="0"/>
            <c:spPr>
              <a:solidFill>
                <a:srgbClr val="E84A38"/>
              </a:solidFill>
              <a:ln>
                <a:solidFill>
                  <a:srgbClr val="FFFFFF"/>
                </a:solidFill>
              </a:ln>
            </c:spPr>
            <c:extLst>
              <c:ext xmlns:c16="http://schemas.microsoft.com/office/drawing/2014/chart" uri="{C3380CC4-5D6E-409C-BE32-E72D297353CC}">
                <c16:uniqueId val="{00000007-212E-4411-8ECF-A35612DC6370}"/>
              </c:ext>
            </c:extLst>
          </c:dPt>
          <c:dPt>
            <c:idx val="4"/>
            <c:bubble3D val="0"/>
            <c:spPr>
              <a:solidFill>
                <a:srgbClr val="707271"/>
              </a:solidFill>
              <a:ln>
                <a:solidFill>
                  <a:srgbClr val="FFFFFF"/>
                </a:solidFill>
              </a:ln>
            </c:spPr>
            <c:extLst>
              <c:ext xmlns:c16="http://schemas.microsoft.com/office/drawing/2014/chart" uri="{C3380CC4-5D6E-409C-BE32-E72D297353CC}">
                <c16:uniqueId val="{00000009-212E-4411-8ECF-A35612DC6370}"/>
              </c:ext>
            </c:extLst>
          </c:dPt>
          <c:dPt>
            <c:idx val="5"/>
            <c:bubble3D val="0"/>
            <c:spPr>
              <a:solidFill>
                <a:srgbClr val="55585A"/>
              </a:solidFill>
              <a:ln>
                <a:solidFill>
                  <a:srgbClr val="FFFFFF"/>
                </a:solidFill>
              </a:ln>
            </c:spPr>
            <c:extLst>
              <c:ext xmlns:c16="http://schemas.microsoft.com/office/drawing/2014/chart" uri="{C3380CC4-5D6E-409C-BE32-E72D297353CC}">
                <c16:uniqueId val="{0000000B-212E-4411-8ECF-A35612DC6370}"/>
              </c:ext>
            </c:extLst>
          </c:dPt>
          <c:cat>
            <c:strRef>
              <c:f>'Area VIIb-k trawlers 10-24m'!$B$77:$B$82</c:f>
              <c:strCache>
                <c:ptCount val="6"/>
                <c:pt idx="0">
                  <c:v>Sprats - 12.9%</c:v>
                </c:pt>
                <c:pt idx="1">
                  <c:v>Cuttlefish - 12.3%</c:v>
                </c:pt>
                <c:pt idx="2">
                  <c:v>Les. Spot. Dog - 10.7%</c:v>
                </c:pt>
                <c:pt idx="3">
                  <c:v>Blonde Ray - 7.1%</c:v>
                </c:pt>
                <c:pt idx="4">
                  <c:v>Pilchards - 6.3%</c:v>
                </c:pt>
                <c:pt idx="5">
                  <c:v>Others - 50.6%</c:v>
                </c:pt>
              </c:strCache>
            </c:strRef>
          </c:cat>
          <c:val>
            <c:numRef>
              <c:f>'Area VIIb-k trawlers 10-24m'!$C$77:$C$82</c:f>
              <c:numCache>
                <c:formatCode>0.0%</c:formatCode>
                <c:ptCount val="6"/>
                <c:pt idx="0">
                  <c:v>0.12928495850397145</c:v>
                </c:pt>
                <c:pt idx="1">
                  <c:v>0.12332809870597956</c:v>
                </c:pt>
                <c:pt idx="2">
                  <c:v>0.10675193522822875</c:v>
                </c:pt>
                <c:pt idx="3">
                  <c:v>7.1229862873855951E-2</c:v>
                </c:pt>
                <c:pt idx="4">
                  <c:v>6.2941310491351363E-2</c:v>
                </c:pt>
                <c:pt idx="5">
                  <c:v>0.50646383419661289</c:v>
                </c:pt>
              </c:numCache>
            </c:numRef>
          </c:val>
          <c:extLst>
            <c:ext xmlns:c16="http://schemas.microsoft.com/office/drawing/2014/chart" uri="{C3380CC4-5D6E-409C-BE32-E72D297353CC}">
              <c16:uniqueId val="{0000000C-212E-4411-8ECF-A35612DC6370}"/>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10-24m'!$F$76</c:f>
          <c:strCache>
            <c:ptCount val="1"/>
            <c:pt idx="0">
              <c:v>Top 5 landed species by value in 2020
Area VIIBCDEFGHK trawlers 10-24m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C2E2-44CA-A2EE-5BE0EFF62086}"/>
              </c:ext>
            </c:extLst>
          </c:dPt>
          <c:dPt>
            <c:idx val="1"/>
            <c:bubble3D val="0"/>
            <c:spPr>
              <a:solidFill>
                <a:srgbClr val="E87308"/>
              </a:solidFill>
              <a:ln>
                <a:solidFill>
                  <a:srgbClr val="FFFFFF"/>
                </a:solidFill>
              </a:ln>
            </c:spPr>
            <c:extLst>
              <c:ext xmlns:c16="http://schemas.microsoft.com/office/drawing/2014/chart" uri="{C3380CC4-5D6E-409C-BE32-E72D297353CC}">
                <c16:uniqueId val="{00000003-C2E2-44CA-A2EE-5BE0EFF62086}"/>
              </c:ext>
            </c:extLst>
          </c:dPt>
          <c:dPt>
            <c:idx val="2"/>
            <c:bubble3D val="0"/>
            <c:spPr>
              <a:solidFill>
                <a:srgbClr val="648C2E"/>
              </a:solidFill>
              <a:ln>
                <a:solidFill>
                  <a:srgbClr val="FFFFFF"/>
                </a:solidFill>
              </a:ln>
            </c:spPr>
            <c:extLst>
              <c:ext xmlns:c16="http://schemas.microsoft.com/office/drawing/2014/chart" uri="{C3380CC4-5D6E-409C-BE32-E72D297353CC}">
                <c16:uniqueId val="{00000005-C2E2-44CA-A2EE-5BE0EFF62086}"/>
              </c:ext>
            </c:extLst>
          </c:dPt>
          <c:dPt>
            <c:idx val="3"/>
            <c:bubble3D val="0"/>
            <c:spPr>
              <a:solidFill>
                <a:srgbClr val="C1D119"/>
              </a:solidFill>
              <a:ln>
                <a:solidFill>
                  <a:srgbClr val="FFFFFF"/>
                </a:solidFill>
              </a:ln>
            </c:spPr>
            <c:extLst>
              <c:ext xmlns:c16="http://schemas.microsoft.com/office/drawing/2014/chart" uri="{C3380CC4-5D6E-409C-BE32-E72D297353CC}">
                <c16:uniqueId val="{00000007-C2E2-44CA-A2EE-5BE0EFF62086}"/>
              </c:ext>
            </c:extLst>
          </c:dPt>
          <c:dPt>
            <c:idx val="4"/>
            <c:bubble3D val="0"/>
            <c:spPr>
              <a:solidFill>
                <a:srgbClr val="E84A38"/>
              </a:solidFill>
              <a:ln>
                <a:solidFill>
                  <a:srgbClr val="FFFFFF"/>
                </a:solidFill>
              </a:ln>
            </c:spPr>
            <c:extLst>
              <c:ext xmlns:c16="http://schemas.microsoft.com/office/drawing/2014/chart" uri="{C3380CC4-5D6E-409C-BE32-E72D297353CC}">
                <c16:uniqueId val="{00000009-C2E2-44CA-A2EE-5BE0EFF62086}"/>
              </c:ext>
            </c:extLst>
          </c:dPt>
          <c:dPt>
            <c:idx val="5"/>
            <c:bubble3D val="0"/>
            <c:spPr>
              <a:solidFill>
                <a:srgbClr val="55585A"/>
              </a:solidFill>
              <a:ln>
                <a:solidFill>
                  <a:srgbClr val="FFFFFF"/>
                </a:solidFill>
              </a:ln>
            </c:spPr>
            <c:extLst>
              <c:ext xmlns:c16="http://schemas.microsoft.com/office/drawing/2014/chart" uri="{C3380CC4-5D6E-409C-BE32-E72D297353CC}">
                <c16:uniqueId val="{0000000B-C2E2-44CA-A2EE-5BE0EFF62086}"/>
              </c:ext>
            </c:extLst>
          </c:dPt>
          <c:cat>
            <c:strRef>
              <c:f>'Area VIIb-k trawlers 10-24m'!$G$77:$G$82</c:f>
              <c:strCache>
                <c:ptCount val="6"/>
                <c:pt idx="0">
                  <c:v>Cuttlefish - 16.2%</c:v>
                </c:pt>
                <c:pt idx="1">
                  <c:v>Lemon Sole - 12.1%</c:v>
                </c:pt>
                <c:pt idx="2">
                  <c:v>Anglerfish - 10.9%</c:v>
                </c:pt>
                <c:pt idx="3">
                  <c:v>Sole - 7.5%</c:v>
                </c:pt>
                <c:pt idx="4">
                  <c:v>Blonde Ray - 5.7%</c:v>
                </c:pt>
                <c:pt idx="5">
                  <c:v>Others - 47.6%</c:v>
                </c:pt>
              </c:strCache>
            </c:strRef>
          </c:cat>
          <c:val>
            <c:numRef>
              <c:f>'Area VIIb-k trawlers 10-24m'!$H$77:$H$82</c:f>
              <c:numCache>
                <c:formatCode>0.0%</c:formatCode>
                <c:ptCount val="6"/>
                <c:pt idx="0">
                  <c:v>0.16152907546608633</c:v>
                </c:pt>
                <c:pt idx="1">
                  <c:v>0.12121436684374338</c:v>
                </c:pt>
                <c:pt idx="2">
                  <c:v>0.10895929730722839</c:v>
                </c:pt>
                <c:pt idx="3">
                  <c:v>7.4719094612007569E-2</c:v>
                </c:pt>
                <c:pt idx="4">
                  <c:v>5.7362278002418991E-2</c:v>
                </c:pt>
                <c:pt idx="5">
                  <c:v>0.47621588776851531</c:v>
                </c:pt>
              </c:numCache>
            </c:numRef>
          </c:val>
          <c:extLst>
            <c:ext xmlns:c16="http://schemas.microsoft.com/office/drawing/2014/chart" uri="{C3380CC4-5D6E-409C-BE32-E72D297353CC}">
              <c16:uniqueId val="{0000000C-C2E2-44CA-A2EE-5BE0EFF62086}"/>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10-24m'!$K$77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VIIb-k trawlers 10-24m'!$C$92</c:f>
              <c:strCache>
                <c:ptCount val="1"/>
                <c:pt idx="0">
                  <c:v>Cuttlefish</c:v>
                </c:pt>
              </c:strCache>
            </c:strRef>
          </c:tx>
          <c:spPr>
            <a:solidFill>
              <a:srgbClr val="2273B9"/>
            </a:solidFill>
            <a:ln>
              <a:solidFill>
                <a:srgbClr val="FFFFFF"/>
              </a:solidFill>
            </a:ln>
          </c:spPr>
          <c:invertIfNegative val="0"/>
          <c:cat>
            <c:numRef>
              <c:f>'Area VIIb-k trawlers 10-24m'!$D$91:$M$91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10-24m'!$D$92:$M$92</c:f>
              <c:numCache>
                <c:formatCode>0%</c:formatCode>
                <c:ptCount val="10"/>
                <c:pt idx="0">
                  <c:v>9.2216356336864522E-2</c:v>
                </c:pt>
                <c:pt idx="2">
                  <c:v>0.10992614092339756</c:v>
                </c:pt>
                <c:pt idx="3">
                  <c:v>0.17191068170665549</c:v>
                </c:pt>
                <c:pt idx="4">
                  <c:v>0.19576597155737094</c:v>
                </c:pt>
                <c:pt idx="5">
                  <c:v>0.36222379671670868</c:v>
                </c:pt>
                <c:pt idx="6">
                  <c:v>0.13703770294416773</c:v>
                </c:pt>
                <c:pt idx="7">
                  <c:v>0.16716818698503155</c:v>
                </c:pt>
                <c:pt idx="8">
                  <c:v>0.16152907546608633</c:v>
                </c:pt>
                <c:pt idx="9">
                  <c:v>0.14055983170080191</c:v>
                </c:pt>
              </c:numCache>
            </c:numRef>
          </c:val>
          <c:extLst>
            <c:ext xmlns:c16="http://schemas.microsoft.com/office/drawing/2014/chart" uri="{C3380CC4-5D6E-409C-BE32-E72D297353CC}">
              <c16:uniqueId val="{00000000-4D1C-4E56-8568-A71D9BEFA894}"/>
            </c:ext>
          </c:extLst>
        </c:ser>
        <c:ser>
          <c:idx val="1"/>
          <c:order val="1"/>
          <c:tx>
            <c:strRef>
              <c:f>'Area VIIb-k trawlers 10-24m'!$C$93</c:f>
              <c:strCache>
                <c:ptCount val="1"/>
                <c:pt idx="0">
                  <c:v>Lemon Sole</c:v>
                </c:pt>
              </c:strCache>
            </c:strRef>
          </c:tx>
          <c:spPr>
            <a:solidFill>
              <a:srgbClr val="E87308"/>
            </a:solidFill>
            <a:ln>
              <a:solidFill>
                <a:srgbClr val="FFFFFF"/>
              </a:solidFill>
            </a:ln>
          </c:spPr>
          <c:invertIfNegative val="0"/>
          <c:cat>
            <c:numRef>
              <c:f>'Area VIIb-k trawlers 10-24m'!$D$91:$M$91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10-24m'!$D$93:$M$93</c:f>
              <c:numCache>
                <c:formatCode>0%</c:formatCode>
                <c:ptCount val="10"/>
                <c:pt idx="0">
                  <c:v>0.18806921559390777</c:v>
                </c:pt>
                <c:pt idx="1">
                  <c:v>0.22855291347375897</c:v>
                </c:pt>
                <c:pt idx="2">
                  <c:v>0.21216468615648737</c:v>
                </c:pt>
                <c:pt idx="3">
                  <c:v>0.18660859042451419</c:v>
                </c:pt>
                <c:pt idx="4">
                  <c:v>0.18170108805625268</c:v>
                </c:pt>
                <c:pt idx="5">
                  <c:v>0.11834132038418257</c:v>
                </c:pt>
                <c:pt idx="6">
                  <c:v>0.12391427717230459</c:v>
                </c:pt>
                <c:pt idx="7">
                  <c:v>0.14153244613682647</c:v>
                </c:pt>
                <c:pt idx="8">
                  <c:v>0.12121436684374338</c:v>
                </c:pt>
                <c:pt idx="9">
                  <c:v>0.13898782210711899</c:v>
                </c:pt>
              </c:numCache>
            </c:numRef>
          </c:val>
          <c:extLst>
            <c:ext xmlns:c16="http://schemas.microsoft.com/office/drawing/2014/chart" uri="{C3380CC4-5D6E-409C-BE32-E72D297353CC}">
              <c16:uniqueId val="{00000001-4D1C-4E56-8568-A71D9BEFA894}"/>
            </c:ext>
          </c:extLst>
        </c:ser>
        <c:ser>
          <c:idx val="2"/>
          <c:order val="2"/>
          <c:tx>
            <c:strRef>
              <c:f>'Area VIIb-k trawlers 10-24m'!$C$94</c:f>
              <c:strCache>
                <c:ptCount val="1"/>
                <c:pt idx="0">
                  <c:v>Anglerfish</c:v>
                </c:pt>
              </c:strCache>
            </c:strRef>
          </c:tx>
          <c:spPr>
            <a:solidFill>
              <a:srgbClr val="648C2E"/>
            </a:solidFill>
            <a:ln>
              <a:solidFill>
                <a:srgbClr val="FFFFFF"/>
              </a:solidFill>
            </a:ln>
          </c:spPr>
          <c:invertIfNegative val="0"/>
          <c:cat>
            <c:numRef>
              <c:f>'Area VIIb-k trawlers 10-24m'!$D$91:$M$91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10-24m'!$D$94:$M$94</c:f>
              <c:numCache>
                <c:formatCode>0%</c:formatCode>
                <c:ptCount val="10"/>
                <c:pt idx="0">
                  <c:v>8.4494685258565419E-2</c:v>
                </c:pt>
                <c:pt idx="1">
                  <c:v>6.9352484412298743E-2</c:v>
                </c:pt>
                <c:pt idx="2">
                  <c:v>7.3905013771125599E-2</c:v>
                </c:pt>
                <c:pt idx="3">
                  <c:v>7.9531859877568667E-2</c:v>
                </c:pt>
                <c:pt idx="4">
                  <c:v>8.6424500147920372E-2</c:v>
                </c:pt>
                <c:pt idx="5">
                  <c:v>5.6202794936955361E-2</c:v>
                </c:pt>
                <c:pt idx="6">
                  <c:v>7.3422283385218112E-2</c:v>
                </c:pt>
                <c:pt idx="7">
                  <c:v>8.9598691374285208E-2</c:v>
                </c:pt>
                <c:pt idx="8">
                  <c:v>0.10895929730722839</c:v>
                </c:pt>
                <c:pt idx="9">
                  <c:v>0.1094516468164094</c:v>
                </c:pt>
              </c:numCache>
            </c:numRef>
          </c:val>
          <c:extLst>
            <c:ext xmlns:c16="http://schemas.microsoft.com/office/drawing/2014/chart" uri="{C3380CC4-5D6E-409C-BE32-E72D297353CC}">
              <c16:uniqueId val="{00000002-4D1C-4E56-8568-A71D9BEFA894}"/>
            </c:ext>
          </c:extLst>
        </c:ser>
        <c:ser>
          <c:idx val="3"/>
          <c:order val="3"/>
          <c:tx>
            <c:strRef>
              <c:f>'Area VIIb-k trawlers 10-24m'!$C$95</c:f>
              <c:strCache>
                <c:ptCount val="1"/>
                <c:pt idx="0">
                  <c:v>Sole</c:v>
                </c:pt>
              </c:strCache>
            </c:strRef>
          </c:tx>
          <c:spPr>
            <a:solidFill>
              <a:srgbClr val="C1D119"/>
            </a:solidFill>
            <a:ln>
              <a:solidFill>
                <a:srgbClr val="FFFFFF"/>
              </a:solidFill>
            </a:ln>
          </c:spPr>
          <c:invertIfNegative val="0"/>
          <c:cat>
            <c:numRef>
              <c:f>'Area VIIb-k trawlers 10-24m'!$D$91:$M$91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10-24m'!$D$95:$M$95</c:f>
              <c:numCache>
                <c:formatCode>0%</c:formatCode>
                <c:ptCount val="10"/>
                <c:pt idx="7">
                  <c:v>6.2303994123029512E-2</c:v>
                </c:pt>
                <c:pt idx="8">
                  <c:v>7.4719094612007569E-2</c:v>
                </c:pt>
                <c:pt idx="9">
                  <c:v>8.8019290644475237E-2</c:v>
                </c:pt>
              </c:numCache>
            </c:numRef>
          </c:val>
          <c:extLst>
            <c:ext xmlns:c16="http://schemas.microsoft.com/office/drawing/2014/chart" uri="{C3380CC4-5D6E-409C-BE32-E72D297353CC}">
              <c16:uniqueId val="{00000003-4D1C-4E56-8568-A71D9BEFA894}"/>
            </c:ext>
          </c:extLst>
        </c:ser>
        <c:ser>
          <c:idx val="4"/>
          <c:order val="4"/>
          <c:tx>
            <c:strRef>
              <c:f>'Area VIIb-k trawlers 10-24m'!$C$96</c:f>
              <c:strCache>
                <c:ptCount val="1"/>
                <c:pt idx="0">
                  <c:v>Blonde Ray</c:v>
                </c:pt>
              </c:strCache>
            </c:strRef>
          </c:tx>
          <c:spPr>
            <a:solidFill>
              <a:srgbClr val="E84A38"/>
            </a:solidFill>
            <a:ln>
              <a:solidFill>
                <a:srgbClr val="FFFFFF"/>
              </a:solidFill>
            </a:ln>
          </c:spPr>
          <c:invertIfNegative val="0"/>
          <c:cat>
            <c:numRef>
              <c:f>'Area VIIb-k trawlers 10-24m'!$D$91:$M$91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10-24m'!$D$96:$M$96</c:f>
              <c:numCache>
                <c:formatCode>0%</c:formatCode>
                <c:ptCount val="10"/>
                <c:pt idx="3">
                  <c:v>5.3811205469792844E-2</c:v>
                </c:pt>
                <c:pt idx="4">
                  <c:v>4.0321912100368895E-2</c:v>
                </c:pt>
                <c:pt idx="8">
                  <c:v>5.7362278002418991E-2</c:v>
                </c:pt>
                <c:pt idx="9">
                  <c:v>6.1565349808513636E-2</c:v>
                </c:pt>
              </c:numCache>
            </c:numRef>
          </c:val>
          <c:extLst>
            <c:ext xmlns:c16="http://schemas.microsoft.com/office/drawing/2014/chart" uri="{C3380CC4-5D6E-409C-BE32-E72D297353CC}">
              <c16:uniqueId val="{00000004-4D1C-4E56-8568-A71D9BEFA894}"/>
            </c:ext>
          </c:extLst>
        </c:ser>
        <c:ser>
          <c:idx val="5"/>
          <c:order val="5"/>
          <c:tx>
            <c:strRef>
              <c:f>'Area VIIb-k trawlers 10-24m'!$C$97</c:f>
              <c:strCache>
                <c:ptCount val="1"/>
                <c:pt idx="0">
                  <c:v>Squid</c:v>
                </c:pt>
              </c:strCache>
            </c:strRef>
          </c:tx>
          <c:spPr>
            <a:solidFill>
              <a:srgbClr val="0F9AA9"/>
            </a:solidFill>
            <a:ln>
              <a:solidFill>
                <a:srgbClr val="FFFFFF"/>
              </a:solidFill>
            </a:ln>
          </c:spPr>
          <c:invertIfNegative val="0"/>
          <c:cat>
            <c:numRef>
              <c:f>'Area VIIb-k trawlers 10-24m'!$D$91:$M$91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10-24m'!$D$97:$M$97</c:f>
              <c:numCache>
                <c:formatCode>0%</c:formatCode>
                <c:ptCount val="10"/>
                <c:pt idx="0">
                  <c:v>7.6933776012108476E-2</c:v>
                </c:pt>
                <c:pt idx="1">
                  <c:v>0.11313551216495404</c:v>
                </c:pt>
                <c:pt idx="2">
                  <c:v>0.11954291175096382</c:v>
                </c:pt>
                <c:pt idx="3">
                  <c:v>9.6884274781710258E-2</c:v>
                </c:pt>
                <c:pt idx="4">
                  <c:v>6.1294379921496139E-2</c:v>
                </c:pt>
                <c:pt idx="5">
                  <c:v>7.4141566626185429E-2</c:v>
                </c:pt>
                <c:pt idx="6">
                  <c:v>8.0152419468793826E-2</c:v>
                </c:pt>
                <c:pt idx="7">
                  <c:v>6.605308399677462E-2</c:v>
                </c:pt>
              </c:numCache>
            </c:numRef>
          </c:val>
          <c:extLst>
            <c:ext xmlns:c16="http://schemas.microsoft.com/office/drawing/2014/chart" uri="{C3380CC4-5D6E-409C-BE32-E72D297353CC}">
              <c16:uniqueId val="{00000005-4D1C-4E56-8568-A71D9BEFA894}"/>
            </c:ext>
          </c:extLst>
        </c:ser>
        <c:ser>
          <c:idx val="6"/>
          <c:order val="6"/>
          <c:tx>
            <c:strRef>
              <c:f>'Area VIIb-k trawlers 10-24m'!$C$98</c:f>
              <c:strCache>
                <c:ptCount val="1"/>
                <c:pt idx="0">
                  <c:v>John Dory</c:v>
                </c:pt>
              </c:strCache>
            </c:strRef>
          </c:tx>
          <c:spPr>
            <a:solidFill>
              <a:srgbClr val="FED825"/>
            </a:solidFill>
            <a:ln>
              <a:solidFill>
                <a:srgbClr val="FFFFFF"/>
              </a:solidFill>
            </a:ln>
          </c:spPr>
          <c:invertIfNegative val="0"/>
          <c:cat>
            <c:numRef>
              <c:f>'Area VIIb-k trawlers 10-24m'!$D$91:$M$91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10-24m'!$D$98:$M$98</c:f>
              <c:numCache>
                <c:formatCode>0%</c:formatCode>
                <c:ptCount val="10"/>
                <c:pt idx="2">
                  <c:v>4.4567198947102628E-2</c:v>
                </c:pt>
                <c:pt idx="5">
                  <c:v>3.8693456409122376E-2</c:v>
                </c:pt>
                <c:pt idx="6">
                  <c:v>6.8869975762989644E-2</c:v>
                </c:pt>
              </c:numCache>
            </c:numRef>
          </c:val>
          <c:extLst>
            <c:ext xmlns:c16="http://schemas.microsoft.com/office/drawing/2014/chart" uri="{C3380CC4-5D6E-409C-BE32-E72D297353CC}">
              <c16:uniqueId val="{00000006-4D1C-4E56-8568-A71D9BEFA894}"/>
            </c:ext>
          </c:extLst>
        </c:ser>
        <c:ser>
          <c:idx val="7"/>
          <c:order val="7"/>
          <c:tx>
            <c:strRef>
              <c:f>'Area VIIb-k trawlers 10-24m'!$C$99</c:f>
              <c:strCache>
                <c:ptCount val="1"/>
                <c:pt idx="0">
                  <c:v>Haddock</c:v>
                </c:pt>
              </c:strCache>
            </c:strRef>
          </c:tx>
          <c:spPr>
            <a:solidFill>
              <a:srgbClr val="707271"/>
            </a:solidFill>
            <a:ln>
              <a:solidFill>
                <a:srgbClr val="FFFFFF"/>
              </a:solidFill>
            </a:ln>
          </c:spPr>
          <c:invertIfNegative val="0"/>
          <c:cat>
            <c:numRef>
              <c:f>'Area VIIb-k trawlers 10-24m'!$D$91:$M$91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10-24m'!$D$99:$M$99</c:f>
              <c:numCache>
                <c:formatCode>0%</c:formatCode>
                <c:ptCount val="10"/>
                <c:pt idx="0">
                  <c:v>0.10277258756702529</c:v>
                </c:pt>
                <c:pt idx="1">
                  <c:v>7.975497210505321E-2</c:v>
                </c:pt>
              </c:numCache>
            </c:numRef>
          </c:val>
          <c:extLst>
            <c:ext xmlns:c16="http://schemas.microsoft.com/office/drawing/2014/chart" uri="{C3380CC4-5D6E-409C-BE32-E72D297353CC}">
              <c16:uniqueId val="{00000007-4D1C-4E56-8568-A71D9BEFA894}"/>
            </c:ext>
          </c:extLst>
        </c:ser>
        <c:ser>
          <c:idx val="8"/>
          <c:order val="8"/>
          <c:tx>
            <c:strRef>
              <c:f>'Area VIIb-k trawlers 10-24m'!$C$100</c:f>
              <c:strCache>
                <c:ptCount val="1"/>
                <c:pt idx="0">
                  <c:v>Scallops</c:v>
                </c:pt>
              </c:strCache>
            </c:strRef>
          </c:tx>
          <c:spPr>
            <a:solidFill>
              <a:srgbClr val="51AA81"/>
            </a:solidFill>
            <a:ln>
              <a:solidFill>
                <a:srgbClr val="FFFFFF"/>
              </a:solidFill>
            </a:ln>
          </c:spPr>
          <c:invertIfNegative val="0"/>
          <c:cat>
            <c:numRef>
              <c:f>'Area VIIb-k trawlers 10-24m'!$D$91:$M$91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10-24m'!$D$100:$M$100</c:f>
              <c:numCache>
                <c:formatCode>0%</c:formatCode>
                <c:ptCount val="10"/>
                <c:pt idx="1">
                  <c:v>6.1724910154270007E-2</c:v>
                </c:pt>
              </c:numCache>
            </c:numRef>
          </c:val>
          <c:extLst>
            <c:ext xmlns:c16="http://schemas.microsoft.com/office/drawing/2014/chart" uri="{C3380CC4-5D6E-409C-BE32-E72D297353CC}">
              <c16:uniqueId val="{00000008-4D1C-4E56-8568-A71D9BEFA894}"/>
            </c:ext>
          </c:extLst>
        </c:ser>
        <c:ser>
          <c:idx val="9"/>
          <c:order val="9"/>
          <c:tx>
            <c:strRef>
              <c:f>'Area VIIb-k trawlers 10-24m'!$C$101</c:f>
              <c:strCache>
                <c:ptCount val="1"/>
                <c:pt idx="0">
                  <c:v>Others</c:v>
                </c:pt>
              </c:strCache>
            </c:strRef>
          </c:tx>
          <c:spPr>
            <a:solidFill>
              <a:srgbClr val="55585A"/>
            </a:solidFill>
            <a:ln>
              <a:solidFill>
                <a:srgbClr val="FFFFFF"/>
              </a:solidFill>
            </a:ln>
          </c:spPr>
          <c:invertIfNegative val="0"/>
          <c:cat>
            <c:numRef>
              <c:f>'Area VIIb-k trawlers 10-24m'!$D$91:$M$91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VIIb-k trawlers 10-24m'!$D$101:$M$101</c:f>
              <c:numCache>
                <c:formatCode>0%</c:formatCode>
                <c:ptCount val="10"/>
                <c:pt idx="0">
                  <c:v>0.45551337923152851</c:v>
                </c:pt>
                <c:pt idx="1">
                  <c:v>0.44747920768966504</c:v>
                </c:pt>
                <c:pt idx="2">
                  <c:v>0.439894048450923</c:v>
                </c:pt>
                <c:pt idx="3">
                  <c:v>0.41125338773975856</c:v>
                </c:pt>
                <c:pt idx="4">
                  <c:v>0.43449214821659099</c:v>
                </c:pt>
                <c:pt idx="5">
                  <c:v>0.35039706492684553</c:v>
                </c:pt>
                <c:pt idx="6">
                  <c:v>0.51660334126652607</c:v>
                </c:pt>
                <c:pt idx="7">
                  <c:v>0.47334359738405263</c:v>
                </c:pt>
                <c:pt idx="8">
                  <c:v>0.47621588776851531</c:v>
                </c:pt>
                <c:pt idx="9">
                  <c:v>0.46141605892268084</c:v>
                </c:pt>
              </c:numCache>
            </c:numRef>
          </c:val>
          <c:extLst>
            <c:ext xmlns:c16="http://schemas.microsoft.com/office/drawing/2014/chart" uri="{C3380CC4-5D6E-409C-BE32-E72D297353CC}">
              <c16:uniqueId val="{00000009-4D1C-4E56-8568-A71D9BEFA894}"/>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'Area VIIb-k trawlers 10-24m'!$B$162</c:f>
              <c:strCache>
                <c:ptCount val="1"/>
                <c:pt idx="0">
                  <c:v>Cuttlefish</c:v>
                </c:pt>
              </c:strCache>
            </c:strRef>
          </c:tx>
          <c:spPr>
            <a:solidFill>
              <a:srgbClr val="2273B9"/>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10-24m'!$C$162:$E$162</c:f>
              <c:numCache>
                <c:formatCode>0%</c:formatCode>
                <c:ptCount val="3"/>
                <c:pt idx="0">
                  <c:v>0</c:v>
                </c:pt>
                <c:pt idx="1">
                  <c:v>0.23196138910823355</c:v>
                </c:pt>
                <c:pt idx="2">
                  <c:v>0.14879618398135563</c:v>
                </c:pt>
              </c:numCache>
            </c:numRef>
          </c:val>
          <c:extLst>
            <c:ext xmlns:c16="http://schemas.microsoft.com/office/drawing/2014/chart" uri="{C3380CC4-5D6E-409C-BE32-E72D297353CC}">
              <c16:uniqueId val="{00000000-4022-4514-8996-853191FC4DD5}"/>
            </c:ext>
          </c:extLst>
        </c:ser>
        <c:ser>
          <c:idx val="1"/>
          <c:order val="1"/>
          <c:tx>
            <c:strRef>
              <c:f>'Area VIIb-k trawlers 10-24m'!$B$163</c:f>
              <c:strCache>
                <c:ptCount val="1"/>
                <c:pt idx="0">
                  <c:v>Les. Spot. Dog</c:v>
                </c:pt>
              </c:strCache>
            </c:strRef>
          </c:tx>
          <c:spPr>
            <a:solidFill>
              <a:srgbClr val="FED825"/>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10-24m'!$C$163:$E$163</c:f>
              <c:numCache>
                <c:formatCode>0%</c:formatCode>
                <c:ptCount val="3"/>
                <c:pt idx="0">
                  <c:v>2.9014012304513507E-2</c:v>
                </c:pt>
                <c:pt idx="1">
                  <c:v>0.1546921731080414</c:v>
                </c:pt>
                <c:pt idx="2">
                  <c:v>0.19900216883543401</c:v>
                </c:pt>
              </c:numCache>
            </c:numRef>
          </c:val>
          <c:extLst>
            <c:ext xmlns:c16="http://schemas.microsoft.com/office/drawing/2014/chart" uri="{C3380CC4-5D6E-409C-BE32-E72D297353CC}">
              <c16:uniqueId val="{00000001-4022-4514-8996-853191FC4DD5}"/>
            </c:ext>
          </c:extLst>
        </c:ser>
        <c:ser>
          <c:idx val="2"/>
          <c:order val="2"/>
          <c:tx>
            <c:strRef>
              <c:f>'Area VIIb-k trawlers 10-24m'!$B$164</c:f>
              <c:strCache>
                <c:ptCount val="1"/>
                <c:pt idx="0">
                  <c:v>Anglerfish</c:v>
                </c:pt>
              </c:strCache>
            </c:strRef>
          </c:tx>
          <c:spPr>
            <a:solidFill>
              <a:srgbClr val="648C2E"/>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10-24m'!$C$164:$E$164</c:f>
              <c:numCache>
                <c:formatCode>0%</c:formatCode>
                <c:ptCount val="3"/>
                <c:pt idx="0">
                  <c:v>0</c:v>
                </c:pt>
                <c:pt idx="1">
                  <c:v>0.12962876628998141</c:v>
                </c:pt>
                <c:pt idx="2">
                  <c:v>9.2684101534626501E-2</c:v>
                </c:pt>
              </c:numCache>
            </c:numRef>
          </c:val>
          <c:extLst>
            <c:ext xmlns:c16="http://schemas.microsoft.com/office/drawing/2014/chart" uri="{C3380CC4-5D6E-409C-BE32-E72D297353CC}">
              <c16:uniqueId val="{00000002-4022-4514-8996-853191FC4DD5}"/>
            </c:ext>
          </c:extLst>
        </c:ser>
        <c:ser>
          <c:idx val="3"/>
          <c:order val="3"/>
          <c:tx>
            <c:strRef>
              <c:f>'Area VIIb-k trawlers 10-24m'!$B$165</c:f>
              <c:strCache>
                <c:ptCount val="1"/>
                <c:pt idx="0">
                  <c:v>Lemon Sole</c:v>
                </c:pt>
              </c:strCache>
            </c:strRef>
          </c:tx>
          <c:spPr>
            <a:solidFill>
              <a:srgbClr val="E87308"/>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10-24m'!$C$165:$E$165</c:f>
              <c:numCache>
                <c:formatCode>0%</c:formatCode>
                <c:ptCount val="3"/>
                <c:pt idx="0">
                  <c:v>0</c:v>
                </c:pt>
                <c:pt idx="1">
                  <c:v>0.12677504283026936</c:v>
                </c:pt>
                <c:pt idx="2">
                  <c:v>0</c:v>
                </c:pt>
              </c:numCache>
            </c:numRef>
          </c:val>
          <c:extLst>
            <c:ext xmlns:c16="http://schemas.microsoft.com/office/drawing/2014/chart" uri="{C3380CC4-5D6E-409C-BE32-E72D297353CC}">
              <c16:uniqueId val="{00000003-4022-4514-8996-853191FC4DD5}"/>
            </c:ext>
          </c:extLst>
        </c:ser>
        <c:ser>
          <c:idx val="4"/>
          <c:order val="4"/>
          <c:tx>
            <c:strRef>
              <c:f>'Area VIIb-k trawlers 10-24m'!$B$166</c:f>
              <c:strCache>
                <c:ptCount val="1"/>
                <c:pt idx="0">
                  <c:v>Whiting</c:v>
                </c:pt>
              </c:strCache>
            </c:strRef>
          </c:tx>
          <c:spPr>
            <a:solidFill>
              <a:srgbClr val="51AA81"/>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10-24m'!$C$166:$E$166</c:f>
              <c:numCache>
                <c:formatCode>0%</c:formatCode>
                <c:ptCount val="3"/>
                <c:pt idx="0">
                  <c:v>0</c:v>
                </c:pt>
                <c:pt idx="1">
                  <c:v>6.9120157366935428E-2</c:v>
                </c:pt>
                <c:pt idx="2">
                  <c:v>9.4869928491548905E-2</c:v>
                </c:pt>
              </c:numCache>
            </c:numRef>
          </c:val>
          <c:extLst>
            <c:ext xmlns:c16="http://schemas.microsoft.com/office/drawing/2014/chart" uri="{C3380CC4-5D6E-409C-BE32-E72D297353CC}">
              <c16:uniqueId val="{00000004-4022-4514-8996-853191FC4DD5}"/>
            </c:ext>
          </c:extLst>
        </c:ser>
        <c:ser>
          <c:idx val="5"/>
          <c:order val="5"/>
          <c:tx>
            <c:strRef>
              <c:f>'Area VIIb-k trawlers 10-24m'!$B$167</c:f>
              <c:strCache>
                <c:ptCount val="1"/>
                <c:pt idx="0">
                  <c:v>Blonde Ray</c:v>
                </c:pt>
              </c:strCache>
            </c:strRef>
          </c:tx>
          <c:spPr>
            <a:solidFill>
              <a:srgbClr val="E84A38"/>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10-24m'!$C$167:$E$167</c:f>
              <c:numCache>
                <c:formatCode>0%</c:formatCode>
                <c:ptCount val="3"/>
                <c:pt idx="0">
                  <c:v>5.2471721746913245E-2</c:v>
                </c:pt>
                <c:pt idx="1">
                  <c:v>0</c:v>
                </c:pt>
                <c:pt idx="2">
                  <c:v>0.12882785827501372</c:v>
                </c:pt>
              </c:numCache>
            </c:numRef>
          </c:val>
          <c:extLst>
            <c:ext xmlns:c16="http://schemas.microsoft.com/office/drawing/2014/chart" uri="{C3380CC4-5D6E-409C-BE32-E72D297353CC}">
              <c16:uniqueId val="{00000005-4022-4514-8996-853191FC4DD5}"/>
            </c:ext>
          </c:extLst>
        </c:ser>
        <c:ser>
          <c:idx val="6"/>
          <c:order val="6"/>
          <c:tx>
            <c:strRef>
              <c:f>'Area VIIb-k trawlers 10-24m'!$B$168</c:f>
              <c:strCache>
                <c:ptCount val="1"/>
                <c:pt idx="0">
                  <c:v>Sprats</c:v>
                </c:pt>
              </c:strCache>
            </c:strRef>
          </c:tx>
          <c:spPr>
            <a:solidFill>
              <a:srgbClr val="0F9AA9"/>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10-24m'!$C$168:$E$168</c:f>
              <c:numCache>
                <c:formatCode>0%</c:formatCode>
                <c:ptCount val="3"/>
                <c:pt idx="0">
                  <c:v>0.12735495298476912</c:v>
                </c:pt>
                <c:pt idx="1">
                  <c:v>0</c:v>
                </c:pt>
                <c:pt idx="2">
                  <c:v>0</c:v>
                </c:pt>
              </c:numCache>
            </c:numRef>
          </c:val>
          <c:extLst>
            <c:ext xmlns:c16="http://schemas.microsoft.com/office/drawing/2014/chart" uri="{C3380CC4-5D6E-409C-BE32-E72D297353CC}">
              <c16:uniqueId val="{00000006-4022-4514-8996-853191FC4DD5}"/>
            </c:ext>
          </c:extLst>
        </c:ser>
        <c:ser>
          <c:idx val="7"/>
          <c:order val="7"/>
          <c:tx>
            <c:strRef>
              <c:f>'Area VIIb-k trawlers 10-24m'!$B$169</c:f>
              <c:strCache>
                <c:ptCount val="1"/>
                <c:pt idx="0">
                  <c:v>Pilchards</c:v>
                </c:pt>
              </c:strCache>
            </c:strRef>
          </c:tx>
          <c:spPr>
            <a:solidFill>
              <a:srgbClr val="707271"/>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10-24m'!$C$169:$E$169</c:f>
              <c:numCache>
                <c:formatCode>0%</c:formatCode>
                <c:ptCount val="3"/>
                <c:pt idx="0">
                  <c:v>5.670293689473032E-2</c:v>
                </c:pt>
                <c:pt idx="1">
                  <c:v>0</c:v>
                </c:pt>
                <c:pt idx="2">
                  <c:v>0</c:v>
                </c:pt>
              </c:numCache>
            </c:numRef>
          </c:val>
          <c:extLst>
            <c:ext xmlns:c16="http://schemas.microsoft.com/office/drawing/2014/chart" uri="{C3380CC4-5D6E-409C-BE32-E72D297353CC}">
              <c16:uniqueId val="{00000007-4022-4514-8996-853191FC4DD5}"/>
            </c:ext>
          </c:extLst>
        </c:ser>
        <c:ser>
          <c:idx val="8"/>
          <c:order val="8"/>
          <c:tx>
            <c:strRef>
              <c:f>'Area VIIb-k trawlers 10-24m'!$B$170</c:f>
              <c:strCache>
                <c:ptCount val="1"/>
                <c:pt idx="0">
                  <c:v>Thornback Ray</c:v>
                </c:pt>
              </c:strCache>
            </c:strRef>
          </c:tx>
          <c:spPr>
            <a:solidFill>
              <a:srgbClr val="E40D2C"/>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10-24m'!$C$170:$E$170</c:f>
              <c:numCache>
                <c:formatCode>0%</c:formatCode>
                <c:ptCount val="3"/>
                <c:pt idx="0">
                  <c:v>2.770355484042071E-2</c:v>
                </c:pt>
                <c:pt idx="1">
                  <c:v>0</c:v>
                </c:pt>
                <c:pt idx="2">
                  <c:v>0</c:v>
                </c:pt>
              </c:numCache>
            </c:numRef>
          </c:val>
          <c:extLst>
            <c:ext xmlns:c16="http://schemas.microsoft.com/office/drawing/2014/chart" uri="{C3380CC4-5D6E-409C-BE32-E72D297353CC}">
              <c16:uniqueId val="{00000008-4022-4514-8996-853191FC4DD5}"/>
            </c:ext>
          </c:extLst>
        </c:ser>
        <c:ser>
          <c:idx val="9"/>
          <c:order val="9"/>
          <c:tx>
            <c:strRef>
              <c:f>'Area VIIb-k trawlers 10-24m'!$B$171</c:f>
              <c:strCache>
                <c:ptCount val="1"/>
                <c:pt idx="0">
                  <c:v>Others</c:v>
                </c:pt>
              </c:strCache>
            </c:strRef>
          </c:tx>
          <c:spPr>
            <a:solidFill>
              <a:srgbClr val="55585A"/>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10-24m'!$C$171:$E$171</c:f>
              <c:numCache>
                <c:formatCode>0%</c:formatCode>
                <c:ptCount val="3"/>
                <c:pt idx="0">
                  <c:v>0.70675282122865313</c:v>
                </c:pt>
                <c:pt idx="1">
                  <c:v>0.28782247129653882</c:v>
                </c:pt>
                <c:pt idx="2">
                  <c:v>0.33581975888202131</c:v>
                </c:pt>
              </c:numCache>
            </c:numRef>
          </c:val>
          <c:extLst>
            <c:ext xmlns:c16="http://schemas.microsoft.com/office/drawing/2014/chart" uri="{C3380CC4-5D6E-409C-BE32-E72D297353CC}">
              <c16:uniqueId val="{00000009-4022-4514-8996-853191FC4DD5}"/>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'Area VIIb-k trawlers 10-24m'!$H$162</c:f>
              <c:strCache>
                <c:ptCount val="1"/>
                <c:pt idx="0">
                  <c:v>Cuttlefish</c:v>
                </c:pt>
              </c:strCache>
            </c:strRef>
          </c:tx>
          <c:spPr>
            <a:solidFill>
              <a:srgbClr val="2273B9"/>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10-24m'!$I$162:$K$162</c:f>
              <c:numCache>
                <c:formatCode>0%</c:formatCode>
                <c:ptCount val="3"/>
                <c:pt idx="0">
                  <c:v>3.0749182345839392E-2</c:v>
                </c:pt>
                <c:pt idx="1">
                  <c:v>0.22689747897935511</c:v>
                </c:pt>
                <c:pt idx="2">
                  <c:v>0.14816105641332566</c:v>
                </c:pt>
              </c:numCache>
            </c:numRef>
          </c:val>
          <c:extLst>
            <c:ext xmlns:c16="http://schemas.microsoft.com/office/drawing/2014/chart" uri="{C3380CC4-5D6E-409C-BE32-E72D297353CC}">
              <c16:uniqueId val="{00000000-A14B-48FF-B282-D753CCCAC8B8}"/>
            </c:ext>
          </c:extLst>
        </c:ser>
        <c:ser>
          <c:idx val="1"/>
          <c:order val="1"/>
          <c:tx>
            <c:strRef>
              <c:f>'Area VIIb-k trawlers 10-24m'!$H$163</c:f>
              <c:strCache>
                <c:ptCount val="1"/>
                <c:pt idx="0">
                  <c:v>Lemon Sole</c:v>
                </c:pt>
              </c:strCache>
            </c:strRef>
          </c:tx>
          <c:spPr>
            <a:solidFill>
              <a:srgbClr val="E87308"/>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10-24m'!$I$163:$K$163</c:f>
              <c:numCache>
                <c:formatCode>0%</c:formatCode>
                <c:ptCount val="3"/>
                <c:pt idx="0">
                  <c:v>0</c:v>
                </c:pt>
                <c:pt idx="1">
                  <c:v>0.19896293281948962</c:v>
                </c:pt>
                <c:pt idx="2">
                  <c:v>0.11398430264815451</c:v>
                </c:pt>
              </c:numCache>
            </c:numRef>
          </c:val>
          <c:extLst>
            <c:ext xmlns:c16="http://schemas.microsoft.com/office/drawing/2014/chart" uri="{C3380CC4-5D6E-409C-BE32-E72D297353CC}">
              <c16:uniqueId val="{00000001-A14B-48FF-B282-D753CCCAC8B8}"/>
            </c:ext>
          </c:extLst>
        </c:ser>
        <c:ser>
          <c:idx val="2"/>
          <c:order val="2"/>
          <c:tx>
            <c:strRef>
              <c:f>'Area VIIb-k trawlers 10-24m'!$H$164</c:f>
              <c:strCache>
                <c:ptCount val="1"/>
                <c:pt idx="0">
                  <c:v>Anglerfish</c:v>
                </c:pt>
              </c:strCache>
            </c:strRef>
          </c:tx>
          <c:spPr>
            <a:solidFill>
              <a:srgbClr val="648C2E"/>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10-24m'!$I$164:$K$164</c:f>
              <c:numCache>
                <c:formatCode>0%</c:formatCode>
                <c:ptCount val="3"/>
                <c:pt idx="0">
                  <c:v>0</c:v>
                </c:pt>
                <c:pt idx="1">
                  <c:v>0.1721818392248618</c:v>
                </c:pt>
                <c:pt idx="2">
                  <c:v>0.13739466616822188</c:v>
                </c:pt>
              </c:numCache>
            </c:numRef>
          </c:val>
          <c:extLst>
            <c:ext xmlns:c16="http://schemas.microsoft.com/office/drawing/2014/chart" uri="{C3380CC4-5D6E-409C-BE32-E72D297353CC}">
              <c16:uniqueId val="{00000002-A14B-48FF-B282-D753CCCAC8B8}"/>
            </c:ext>
          </c:extLst>
        </c:ser>
        <c:ser>
          <c:idx val="3"/>
          <c:order val="3"/>
          <c:tx>
            <c:strRef>
              <c:f>'Area VIIb-k trawlers 10-24m'!$H$165</c:f>
              <c:strCache>
                <c:ptCount val="1"/>
                <c:pt idx="0">
                  <c:v>John Dory</c:v>
                </c:pt>
              </c:strCache>
            </c:strRef>
          </c:tx>
          <c:spPr>
            <a:solidFill>
              <a:srgbClr val="169FDB"/>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10-24m'!$I$165:$K$165</c:f>
              <c:numCache>
                <c:formatCode>0%</c:formatCode>
                <c:ptCount val="3"/>
                <c:pt idx="0">
                  <c:v>0</c:v>
                </c:pt>
                <c:pt idx="1">
                  <c:v>9.1007465458977518E-2</c:v>
                </c:pt>
                <c:pt idx="2">
                  <c:v>0</c:v>
                </c:pt>
              </c:numCache>
            </c:numRef>
          </c:val>
          <c:extLst>
            <c:ext xmlns:c16="http://schemas.microsoft.com/office/drawing/2014/chart" uri="{C3380CC4-5D6E-409C-BE32-E72D297353CC}">
              <c16:uniqueId val="{00000003-A14B-48FF-B282-D753CCCAC8B8}"/>
            </c:ext>
          </c:extLst>
        </c:ser>
        <c:ser>
          <c:idx val="4"/>
          <c:order val="4"/>
          <c:tx>
            <c:strRef>
              <c:f>'Area VIIb-k trawlers 10-24m'!$H$166</c:f>
              <c:strCache>
                <c:ptCount val="1"/>
                <c:pt idx="0">
                  <c:v>Sole</c:v>
                </c:pt>
              </c:strCache>
            </c:strRef>
          </c:tx>
          <c:spPr>
            <a:solidFill>
              <a:srgbClr val="C1D119"/>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10-24m'!$I$166:$K$166</c:f>
              <c:numCache>
                <c:formatCode>0%</c:formatCode>
                <c:ptCount val="3"/>
                <c:pt idx="0">
                  <c:v>3.0628178670876458E-2</c:v>
                </c:pt>
                <c:pt idx="1">
                  <c:v>7.8834176300263792E-2</c:v>
                </c:pt>
                <c:pt idx="2">
                  <c:v>6.0387685511148328E-2</c:v>
                </c:pt>
              </c:numCache>
            </c:numRef>
          </c:val>
          <c:extLst>
            <c:ext xmlns:c16="http://schemas.microsoft.com/office/drawing/2014/chart" uri="{C3380CC4-5D6E-409C-BE32-E72D297353CC}">
              <c16:uniqueId val="{00000004-A14B-48FF-B282-D753CCCAC8B8}"/>
            </c:ext>
          </c:extLst>
        </c:ser>
        <c:ser>
          <c:idx val="5"/>
          <c:order val="5"/>
          <c:tx>
            <c:strRef>
              <c:f>'Area VIIb-k trawlers 10-24m'!$H$167</c:f>
              <c:strCache>
                <c:ptCount val="1"/>
                <c:pt idx="0">
                  <c:v>Blonde Ray</c:v>
                </c:pt>
              </c:strCache>
            </c:strRef>
          </c:tx>
          <c:spPr>
            <a:solidFill>
              <a:srgbClr val="E84A38"/>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10-24m'!$I$167:$K$167</c:f>
              <c:numCache>
                <c:formatCode>0%</c:formatCode>
                <c:ptCount val="3"/>
                <c:pt idx="0">
                  <c:v>4.0296065864314896E-2</c:v>
                </c:pt>
                <c:pt idx="1">
                  <c:v>0</c:v>
                </c:pt>
                <c:pt idx="2">
                  <c:v>7.4917645956579543E-2</c:v>
                </c:pt>
              </c:numCache>
            </c:numRef>
          </c:val>
          <c:extLst>
            <c:ext xmlns:c16="http://schemas.microsoft.com/office/drawing/2014/chart" uri="{C3380CC4-5D6E-409C-BE32-E72D297353CC}">
              <c16:uniqueId val="{00000005-A14B-48FF-B282-D753CCCAC8B8}"/>
            </c:ext>
          </c:extLst>
        </c:ser>
        <c:ser>
          <c:idx val="6"/>
          <c:order val="6"/>
          <c:tx>
            <c:strRef>
              <c:f>'Area VIIb-k trawlers 10-24m'!$H$168</c:f>
              <c:strCache>
                <c:ptCount val="1"/>
                <c:pt idx="0">
                  <c:v>Sprats</c:v>
                </c:pt>
              </c:strCache>
            </c:strRef>
          </c:tx>
          <c:spPr>
            <a:solidFill>
              <a:srgbClr val="0F9AA9"/>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10-24m'!$I$168:$K$168</c:f>
              <c:numCache>
                <c:formatCode>0%</c:formatCode>
                <c:ptCount val="3"/>
                <c:pt idx="0">
                  <c:v>2.7478817125387817E-2</c:v>
                </c:pt>
                <c:pt idx="1">
                  <c:v>0</c:v>
                </c:pt>
                <c:pt idx="2">
                  <c:v>0</c:v>
                </c:pt>
              </c:numCache>
            </c:numRef>
          </c:val>
          <c:extLst>
            <c:ext xmlns:c16="http://schemas.microsoft.com/office/drawing/2014/chart" uri="{C3380CC4-5D6E-409C-BE32-E72D297353CC}">
              <c16:uniqueId val="{00000006-A14B-48FF-B282-D753CCCAC8B8}"/>
            </c:ext>
          </c:extLst>
        </c:ser>
        <c:ser>
          <c:idx val="7"/>
          <c:order val="7"/>
          <c:tx>
            <c:strRef>
              <c:f>'Area VIIb-k trawlers 10-24m'!$H$169</c:f>
              <c:strCache>
                <c:ptCount val="1"/>
                <c:pt idx="0">
                  <c:v>Thornback Ray</c:v>
                </c:pt>
              </c:strCache>
            </c:strRef>
          </c:tx>
          <c:spPr>
            <a:solidFill>
              <a:srgbClr val="E40D2C"/>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10-24m'!$I$169:$K$169</c:f>
              <c:numCache>
                <c:formatCode>0%</c:formatCode>
                <c:ptCount val="3"/>
                <c:pt idx="0">
                  <c:v>1.8752149284555597E-2</c:v>
                </c:pt>
                <c:pt idx="1">
                  <c:v>0</c:v>
                </c:pt>
                <c:pt idx="2">
                  <c:v>0</c:v>
                </c:pt>
              </c:numCache>
            </c:numRef>
          </c:val>
          <c:extLst>
            <c:ext xmlns:c16="http://schemas.microsoft.com/office/drawing/2014/chart" uri="{C3380CC4-5D6E-409C-BE32-E72D297353CC}">
              <c16:uniqueId val="{00000007-A14B-48FF-B282-D753CCCAC8B8}"/>
            </c:ext>
          </c:extLst>
        </c:ser>
        <c:ser>
          <c:idx val="8"/>
          <c:order val="8"/>
          <c:tx>
            <c:strRef>
              <c:f>'Area VIIb-k trawlers 10-24m'!$H$170</c:f>
              <c:strCache>
                <c:ptCount val="1"/>
                <c:pt idx="0">
                  <c:v>Others</c:v>
                </c:pt>
              </c:strCache>
            </c:strRef>
          </c:tx>
          <c:spPr>
            <a:solidFill>
              <a:srgbClr val="55585A"/>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10-24m'!$I$170:$K$170</c:f>
              <c:numCache>
                <c:formatCode>0%</c:formatCode>
                <c:ptCount val="3"/>
                <c:pt idx="0">
                  <c:v>0.85209560670902584</c:v>
                </c:pt>
                <c:pt idx="1">
                  <c:v>0.23211610721705223</c:v>
                </c:pt>
                <c:pt idx="2">
                  <c:v>0.46515464330257006</c:v>
                </c:pt>
              </c:numCache>
            </c:numRef>
          </c:val>
          <c:extLst>
            <c:ext xmlns:c16="http://schemas.microsoft.com/office/drawing/2014/chart" uri="{C3380CC4-5D6E-409C-BE32-E72D297353CC}">
              <c16:uniqueId val="{00000008-A14B-48FF-B282-D753CCCAC8B8}"/>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trawl'!$K$62</c:f>
          <c:strCache>
            <c:ptCount val="1"/>
            <c:pt idx="0">
              <c:v>Average annual operating profit per vessel (£'000)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C908-4975-A5D7-DE4E2C92B696}"/>
              </c:ext>
            </c:extLst>
          </c:dPt>
          <c:dPt>
            <c:idx val="10"/>
            <c:bubble3D val="0"/>
            <c:spPr>
              <a:ln w="57150">
                <a:solidFill>
                  <a:schemeClr val="accent5"/>
                </a:solidFill>
                <a:prstDash val="sysDot"/>
              </a:ln>
            </c:spPr>
            <c:extLst>
              <c:ext xmlns:c16="http://schemas.microsoft.com/office/drawing/2014/chart" uri="{C3380CC4-5D6E-409C-BE32-E72D297353CC}">
                <c16:uniqueId val="{00000003-C908-4975-A5D7-DE4E2C92B696}"/>
              </c:ext>
            </c:extLst>
          </c:dPt>
          <c:cat>
            <c:numRef>
              <c:f>'Area VIIa demersal trawl'!$D$2:$M$2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'Area VIIa demersal trawl'!$D$37:$N$37</c:f>
              <c:numCache>
                <c:formatCode>#,##0.0</c:formatCode>
                <c:ptCount val="11"/>
                <c:pt idx="0">
                  <c:v>10.9</c:v>
                </c:pt>
                <c:pt idx="1">
                  <c:v>13.2</c:v>
                </c:pt>
                <c:pt idx="2">
                  <c:v>18.7</c:v>
                </c:pt>
                <c:pt idx="3">
                  <c:v>26.7</c:v>
                </c:pt>
                <c:pt idx="4">
                  <c:v>30.2</c:v>
                </c:pt>
                <c:pt idx="5">
                  <c:v>54.9</c:v>
                </c:pt>
                <c:pt idx="6">
                  <c:v>63.6</c:v>
                </c:pt>
                <c:pt idx="7">
                  <c:v>70</c:v>
                </c:pt>
                <c:pt idx="8">
                  <c:v>96.9</c:v>
                </c:pt>
                <c:pt idx="9">
                  <c:v>6.2</c:v>
                </c:pt>
                <c:pt idx="10">
                  <c:v>-8.4</c:v>
                </c:pt>
              </c:numCache>
            </c:numRef>
          </c:val>
          <c:smooth val="0"/>
          <c:extLst>
            <c:ext xmlns:c16="http://schemas.microsoft.com/office/drawing/2014/chart" uri="{C3380CC4-5D6E-409C-BE32-E72D297353CC}">
              <c16:uniqueId val="{00000004-C908-4975-A5D7-DE4E2C92B696}"/>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'Area VIIb-k trawlers 10-24m'!$K$139</c:f>
              <c:strCache>
                <c:ptCount val="1"/>
                <c:pt idx="0">
                  <c:v>Total income</c:v>
                </c:pt>
              </c:strCache>
            </c:strRef>
          </c:tx>
          <c:spPr>
            <a:solidFill>
              <a:srgbClr val="087CBB"/>
            </a:solidFill>
            <a:ln>
              <a:solidFill>
                <a:schemeClr val="accent1"/>
              </a:solidFill>
            </a:ln>
          </c:spPr>
          <c:invertIfNegative val="0"/>
          <c:cat>
            <c:strRef>
              <c:f>'Area VIIb-k trawlers 10-24m'!$L$138:$N$138</c:f>
              <c:strCache>
                <c:ptCount val="3"/>
                <c:pt idx="0">
                  <c:v>Most
profitable
quartile</c:v>
                </c:pt>
                <c:pt idx="1">
                  <c:v>Middle
two quartiles</c:v>
                </c:pt>
                <c:pt idx="2">
                  <c:v>Least
profitable
quartile</c:v>
                </c:pt>
              </c:strCache>
            </c:strRef>
          </c:cat>
          <c:val>
            <c:numRef>
              <c:f>'Area VIIb-k trawlers 10-24m'!$L$139:$N$139</c:f>
              <c:numCache>
                <c:formatCode>#,##0</c:formatCode>
                <c:ptCount val="3"/>
                <c:pt idx="0">
                  <c:v>501.05190625</c:v>
                </c:pt>
                <c:pt idx="1">
                  <c:v>178.368171875</c:v>
                </c:pt>
                <c:pt idx="2">
                  <c:v>85.893890624999997</c:v>
                </c:pt>
              </c:numCache>
            </c:numRef>
          </c:val>
          <c:extLst>
            <c:ext xmlns:c16="http://schemas.microsoft.com/office/drawing/2014/chart" uri="{C3380CC4-5D6E-409C-BE32-E72D297353CC}">
              <c16:uniqueId val="{00000000-E026-4702-A841-77DF8F2806B0}"/>
            </c:ext>
          </c:extLst>
        </c:ser>
        <c:ser>
          <c:idx val="1"/>
          <c:order val="1"/>
          <c:tx>
            <c:strRef>
              <c:f>'Area VIIb-k trawlers 10-24m'!$K$140</c:f>
              <c:strCache>
                <c:ptCount val="1"/>
                <c:pt idx="0">
                  <c:v>Operating costs</c:v>
                </c:pt>
              </c:strCache>
            </c:strRef>
          </c:tx>
          <c:spPr>
            <a:solidFill>
              <a:srgbClr val="E87308"/>
            </a:solidFill>
          </c:spPr>
          <c:invertIfNegative val="0"/>
          <c:cat>
            <c:strRef>
              <c:f>'Area VIIb-k trawlers 10-24m'!$L$138:$N$138</c:f>
              <c:strCache>
                <c:ptCount val="3"/>
                <c:pt idx="0">
                  <c:v>Most
profitable
quartile</c:v>
                </c:pt>
                <c:pt idx="1">
                  <c:v>Middle
two quartiles</c:v>
                </c:pt>
                <c:pt idx="2">
                  <c:v>Least
profitable
quartile</c:v>
                </c:pt>
              </c:strCache>
            </c:strRef>
          </c:cat>
          <c:val>
            <c:numRef>
              <c:f>'Area VIIb-k trawlers 10-24m'!$L$140:$N$140</c:f>
              <c:numCache>
                <c:formatCode>#,##0</c:formatCode>
                <c:ptCount val="3"/>
                <c:pt idx="0">
                  <c:v>365.08462500000002</c:v>
                </c:pt>
                <c:pt idx="1">
                  <c:v>143.85971093750001</c:v>
                </c:pt>
                <c:pt idx="2">
                  <c:v>79.317351562499994</c:v>
                </c:pt>
              </c:numCache>
            </c:numRef>
          </c:val>
          <c:extLst>
            <c:ext xmlns:c16="http://schemas.microsoft.com/office/drawing/2014/chart" uri="{C3380CC4-5D6E-409C-BE32-E72D297353CC}">
              <c16:uniqueId val="{00000001-E026-4702-A841-77DF8F2806B0}"/>
            </c:ext>
          </c:extLst>
        </c:ser>
        <c:ser>
          <c:idx val="2"/>
          <c:order val="2"/>
          <c:tx>
            <c:strRef>
              <c:f>'Area VIIb-k trawlers 10-24m'!$K$141</c:f>
              <c:strCache>
                <c:ptCount val="1"/>
                <c:pt idx="0">
                  <c:v>Operating profit</c:v>
                </c:pt>
              </c:strCache>
            </c:strRef>
          </c:tx>
          <c:spPr>
            <a:solidFill>
              <a:srgbClr val="51AA81"/>
            </a:solidFill>
          </c:spPr>
          <c:invertIfNegative val="0"/>
          <c:cat>
            <c:strRef>
              <c:f>'Area VIIb-k trawlers 10-24m'!$L$138:$N$138</c:f>
              <c:strCache>
                <c:ptCount val="3"/>
                <c:pt idx="0">
                  <c:v>Most
profitable
quartile</c:v>
                </c:pt>
                <c:pt idx="1">
                  <c:v>Middle
two quartiles</c:v>
                </c:pt>
                <c:pt idx="2">
                  <c:v>Least
profitable
quartile</c:v>
                </c:pt>
              </c:strCache>
            </c:strRef>
          </c:cat>
          <c:val>
            <c:numRef>
              <c:f>'Area VIIb-k trawlers 10-24m'!$L$141:$N$141</c:f>
              <c:numCache>
                <c:formatCode>#,##0</c:formatCode>
                <c:ptCount val="3"/>
                <c:pt idx="0">
                  <c:v>135.96728125000001</c:v>
                </c:pt>
                <c:pt idx="1">
                  <c:v>34.508460937499997</c:v>
                </c:pt>
                <c:pt idx="2">
                  <c:v>6.5765390625000002</c:v>
                </c:pt>
              </c:numCache>
            </c:numRef>
          </c:val>
          <c:extLst>
            <c:ext xmlns:c16="http://schemas.microsoft.com/office/drawing/2014/chart" uri="{C3380CC4-5D6E-409C-BE32-E72D297353CC}">
              <c16:uniqueId val="{00000002-E026-4702-A841-77DF8F2806B0}"/>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'Area VIIb-k trawlers 10-24m'!$K$142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netters'!$A$48</c:f>
          <c:strCache>
            <c:ptCount val="1"/>
            <c:pt idx="0">
              <c:v>Landings per kW day at sea (kg)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F772-43E4-9DB4-FBF387936BB9}"/>
              </c:ext>
            </c:extLst>
          </c:dPt>
          <c:dPt>
            <c:idx val="10"/>
            <c:bubble3D val="0"/>
            <c:spPr>
              <a:ln w="57150">
                <a:solidFill>
                  <a:srgbClr val="2273B9"/>
                </a:solidFill>
                <a:prstDash val="sysDot"/>
              </a:ln>
            </c:spPr>
            <c:extLst>
              <c:ext xmlns:c16="http://schemas.microsoft.com/office/drawing/2014/chart" uri="{C3380CC4-5D6E-409C-BE32-E72D297353CC}">
                <c16:uniqueId val="{00000003-F772-43E4-9DB4-FBF387936BB9}"/>
              </c:ext>
            </c:extLst>
          </c:dPt>
          <c:cat>
            <c:numRef>
              <c:f>'Gill netters'!$D$2:$N$2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'Gill netters'!$D$21:$N$21</c:f>
              <c:numCache>
                <c:formatCode>#,##0.00</c:formatCode>
                <c:ptCount val="11"/>
                <c:pt idx="0">
                  <c:v>3.1100025314419253</c:v>
                </c:pt>
                <c:pt idx="1">
                  <c:v>3.7437948670724865</c:v>
                </c:pt>
                <c:pt idx="2">
                  <c:v>3.8668642969403821</c:v>
                </c:pt>
                <c:pt idx="3">
                  <c:v>3.8573823137558154</c:v>
                </c:pt>
                <c:pt idx="4">
                  <c:v>3.5905692295931111</c:v>
                </c:pt>
                <c:pt idx="5">
                  <c:v>4.0660049621417915</c:v>
                </c:pt>
                <c:pt idx="6">
                  <c:v>4.7682826519038253</c:v>
                </c:pt>
                <c:pt idx="7">
                  <c:v>5.1236090623234993</c:v>
                </c:pt>
                <c:pt idx="8">
                  <c:v>5.0820043550347087</c:v>
                </c:pt>
                <c:pt idx="9">
                  <c:v>4.661889602591506</c:v>
                </c:pt>
                <c:pt idx="10">
                  <c:v>4.6428601546605961</c:v>
                </c:pt>
              </c:numCache>
            </c:numRef>
          </c:val>
          <c:smooth val="0"/>
          <c:extLst>
            <c:ext xmlns:c16="http://schemas.microsoft.com/office/drawing/2014/chart" uri="{C3380CC4-5D6E-409C-BE32-E72D297353CC}">
              <c16:uniqueId val="{00000004-F772-43E4-9DB4-FBF387936BB9}"/>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netters'!$A$49</c:f>
          <c:strCache>
            <c:ptCount val="1"/>
            <c:pt idx="0">
              <c:v>Fishing income per kW day at sea (£)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8CE5-4DA6-81B0-6504C8CA651D}"/>
              </c:ext>
            </c:extLst>
          </c:dPt>
          <c:dPt>
            <c:idx val="10"/>
            <c:bubble3D val="0"/>
            <c:spPr>
              <a:ln w="57150">
                <a:solidFill>
                  <a:srgbClr val="648C2E"/>
                </a:solidFill>
                <a:prstDash val="sysDot"/>
              </a:ln>
            </c:spPr>
            <c:extLst>
              <c:ext xmlns:c16="http://schemas.microsoft.com/office/drawing/2014/chart" uri="{C3380CC4-5D6E-409C-BE32-E72D297353CC}">
                <c16:uniqueId val="{00000003-8CE5-4DA6-81B0-6504C8CA651D}"/>
              </c:ext>
            </c:extLst>
          </c:dPt>
          <c:cat>
            <c:numRef>
              <c:f>'Gill netters'!$D$2:$N$2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'Gill netters'!$D$22:$N$22</c:f>
              <c:numCache>
                <c:formatCode>#,##0.00</c:formatCode>
                <c:ptCount val="11"/>
                <c:pt idx="0">
                  <c:v>9.1818056500305207</c:v>
                </c:pt>
                <c:pt idx="1">
                  <c:v>9.5323840595176392</c:v>
                </c:pt>
                <c:pt idx="2">
                  <c:v>8.3730775552150902</c:v>
                </c:pt>
                <c:pt idx="3">
                  <c:v>9.4421507125291697</c:v>
                </c:pt>
                <c:pt idx="4">
                  <c:v>8.8759367359454604</c:v>
                </c:pt>
                <c:pt idx="5">
                  <c:v>10.145546656949</c:v>
                </c:pt>
                <c:pt idx="6">
                  <c:v>9.5554540316094307</c:v>
                </c:pt>
                <c:pt idx="7">
                  <c:v>9.5160807771649303</c:v>
                </c:pt>
                <c:pt idx="8">
                  <c:v>12.8531407163783</c:v>
                </c:pt>
                <c:pt idx="9">
                  <c:v>8.10197443166137</c:v>
                </c:pt>
                <c:pt idx="10">
                  <c:v>9.8434924210673369</c:v>
                </c:pt>
              </c:numCache>
            </c:numRef>
          </c:val>
          <c:smooth val="0"/>
          <c:extLst>
            <c:ext xmlns:c16="http://schemas.microsoft.com/office/drawing/2014/chart" uri="{C3380CC4-5D6E-409C-BE32-E72D297353CC}">
              <c16:uniqueId val="{00000004-8CE5-4DA6-81B0-6504C8CA651D}"/>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netters'!$B$62</c:f>
          <c:strCache>
            <c:ptCount val="1"/>
            <c:pt idx="0">
              <c:v>Total cost per kW day at sea (£)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DB86-4107-9B19-85C10689707F}"/>
              </c:ext>
            </c:extLst>
          </c:dPt>
          <c:dPt>
            <c:idx val="10"/>
            <c:bubble3D val="0"/>
            <c:spPr>
              <a:ln w="57150">
                <a:solidFill>
                  <a:srgbClr val="087CBB"/>
                </a:solidFill>
                <a:prstDash val="sysDot"/>
              </a:ln>
            </c:spPr>
            <c:extLst>
              <c:ext xmlns:c16="http://schemas.microsoft.com/office/drawing/2014/chart" uri="{C3380CC4-5D6E-409C-BE32-E72D297353CC}">
                <c16:uniqueId val="{00000003-DB86-4107-9B19-85C10689707F}"/>
              </c:ext>
            </c:extLst>
          </c:dPt>
          <c:cat>
            <c:numRef>
              <c:f>'Gill netters'!$D$2:$N$2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'Gill netters'!$D$23:$N$23</c:f>
              <c:numCache>
                <c:formatCode>#,##0.00</c:formatCode>
                <c:ptCount val="11"/>
                <c:pt idx="0">
                  <c:v>8.5563081351886208</c:v>
                </c:pt>
                <c:pt idx="1">
                  <c:v>7.2786473716944302</c:v>
                </c:pt>
                <c:pt idx="2">
                  <c:v>7.4239252870088901</c:v>
                </c:pt>
                <c:pt idx="3">
                  <c:v>7.3071153849200199</c:v>
                </c:pt>
                <c:pt idx="4">
                  <c:v>6.6551692311652504</c:v>
                </c:pt>
                <c:pt idx="5">
                  <c:v>8.0664814164540104</c:v>
                </c:pt>
                <c:pt idx="6">
                  <c:v>8.3147855512305604</c:v>
                </c:pt>
                <c:pt idx="7">
                  <c:v>8.4919936257972495</c:v>
                </c:pt>
                <c:pt idx="8">
                  <c:v>11.1785833008802</c:v>
                </c:pt>
                <c:pt idx="9">
                  <c:v>7.3807021372500001</c:v>
                </c:pt>
                <c:pt idx="10">
                  <c:v>8.8668749785104346</c:v>
                </c:pt>
              </c:numCache>
            </c:numRef>
          </c:val>
          <c:smooth val="0"/>
          <c:extLst>
            <c:ext xmlns:c16="http://schemas.microsoft.com/office/drawing/2014/chart" uri="{C3380CC4-5D6E-409C-BE32-E72D297353CC}">
              <c16:uniqueId val="{00000004-DB86-4107-9B19-85C10689707F}"/>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netters'!$K$48</c:f>
          <c:strCache>
            <c:ptCount val="1"/>
            <c:pt idx="0">
              <c:v>Operating profit per kW day at sea (£)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4721-471C-AF65-2353B2409EC0}"/>
              </c:ext>
            </c:extLst>
          </c:dPt>
          <c:dPt>
            <c:idx val="10"/>
            <c:bubble3D val="0"/>
            <c:spPr>
              <a:ln w="57150">
                <a:solidFill>
                  <a:schemeClr val="accent3"/>
                </a:solidFill>
                <a:prstDash val="sysDot"/>
              </a:ln>
            </c:spPr>
            <c:extLst>
              <c:ext xmlns:c16="http://schemas.microsoft.com/office/drawing/2014/chart" uri="{C3380CC4-5D6E-409C-BE32-E72D297353CC}">
                <c16:uniqueId val="{00000003-4721-471C-AF65-2353B2409EC0}"/>
              </c:ext>
            </c:extLst>
          </c:dPt>
          <c:cat>
            <c:numRef>
              <c:f>'Gill netters'!$D$2:$N$2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'Gill netters'!$D$24:$N$24</c:f>
              <c:numCache>
                <c:formatCode>#,##0.00</c:formatCode>
                <c:ptCount val="11"/>
                <c:pt idx="0">
                  <c:v>0.63250169269835799</c:v>
                </c:pt>
                <c:pt idx="1">
                  <c:v>2.2537366878232001</c:v>
                </c:pt>
                <c:pt idx="2">
                  <c:v>0.94915226820619703</c:v>
                </c:pt>
                <c:pt idx="3">
                  <c:v>2.5239092418653502</c:v>
                </c:pt>
                <c:pt idx="4">
                  <c:v>3.03391803780633</c:v>
                </c:pt>
                <c:pt idx="5">
                  <c:v>2.0793192007740502</c:v>
                </c:pt>
                <c:pt idx="6">
                  <c:v>1.29784140741695</c:v>
                </c:pt>
                <c:pt idx="7">
                  <c:v>1.02415318990028</c:v>
                </c:pt>
                <c:pt idx="8">
                  <c:v>1.67463606082686</c:v>
                </c:pt>
                <c:pt idx="9">
                  <c:v>0.82091038270498295</c:v>
                </c:pt>
                <c:pt idx="10">
                  <c:v>0.976628463672639</c:v>
                </c:pt>
              </c:numCache>
            </c:numRef>
          </c:val>
          <c:smooth val="0"/>
          <c:extLst>
            <c:ext xmlns:c16="http://schemas.microsoft.com/office/drawing/2014/chart" uri="{C3380CC4-5D6E-409C-BE32-E72D297353CC}">
              <c16:uniqueId val="{00000004-4721-471C-AF65-2353B2409EC0}"/>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netters'!$A$50</c:f>
          <c:strCache>
            <c:ptCount val="1"/>
            <c:pt idx="0">
              <c:v>Average price per tonne landed (£)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60E0-4C05-9974-ECE35C7F1D56}"/>
              </c:ext>
            </c:extLst>
          </c:dPt>
          <c:dPt>
            <c:idx val="10"/>
            <c:bubble3D val="0"/>
            <c:spPr>
              <a:ln w="57150">
                <a:solidFill>
                  <a:schemeClr val="accent4"/>
                </a:solidFill>
                <a:prstDash val="sysDot"/>
              </a:ln>
            </c:spPr>
            <c:extLst>
              <c:ext xmlns:c16="http://schemas.microsoft.com/office/drawing/2014/chart" uri="{C3380CC4-5D6E-409C-BE32-E72D297353CC}">
                <c16:uniqueId val="{00000003-60E0-4C05-9974-ECE35C7F1D56}"/>
              </c:ext>
            </c:extLst>
          </c:dPt>
          <c:cat>
            <c:numRef>
              <c:f>'Gill netters'!$D$2:$M$2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'Gill netters'!$D$20:$N$20</c:f>
              <c:numCache>
                <c:formatCode>#,##0</c:formatCode>
                <c:ptCount val="11"/>
                <c:pt idx="0">
                  <c:v>2952</c:v>
                </c:pt>
                <c:pt idx="1">
                  <c:v>2546</c:v>
                </c:pt>
                <c:pt idx="2">
                  <c:v>2165</c:v>
                </c:pt>
                <c:pt idx="3">
                  <c:v>2448</c:v>
                </c:pt>
                <c:pt idx="4">
                  <c:v>2472</c:v>
                </c:pt>
                <c:pt idx="5">
                  <c:v>2495</c:v>
                </c:pt>
                <c:pt idx="6">
                  <c:v>2004</c:v>
                </c:pt>
                <c:pt idx="7">
                  <c:v>1857</c:v>
                </c:pt>
                <c:pt idx="8">
                  <c:v>2529</c:v>
                </c:pt>
                <c:pt idx="9">
                  <c:v>1738</c:v>
                </c:pt>
                <c:pt idx="10">
                  <c:v>2120</c:v>
                </c:pt>
              </c:numCache>
            </c:numRef>
          </c:val>
          <c:smooth val="0"/>
          <c:extLst>
            <c:ext xmlns:c16="http://schemas.microsoft.com/office/drawing/2014/chart" uri="{C3380CC4-5D6E-409C-BE32-E72D297353CC}">
              <c16:uniqueId val="{00000004-60E0-4C05-9974-ECE35C7F1D56}"/>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netters'!$K$62</c:f>
          <c:strCache>
            <c:ptCount val="1"/>
            <c:pt idx="0">
              <c:v>Average annual operating profit per vessel (£'000)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B225-4658-878C-7A7B257EE935}"/>
              </c:ext>
            </c:extLst>
          </c:dPt>
          <c:dPt>
            <c:idx val="10"/>
            <c:bubble3D val="0"/>
            <c:spPr>
              <a:ln w="57150">
                <a:solidFill>
                  <a:schemeClr val="accent5"/>
                </a:solidFill>
                <a:prstDash val="sysDot"/>
              </a:ln>
            </c:spPr>
            <c:extLst>
              <c:ext xmlns:c16="http://schemas.microsoft.com/office/drawing/2014/chart" uri="{C3380CC4-5D6E-409C-BE32-E72D297353CC}">
                <c16:uniqueId val="{00000003-B225-4658-878C-7A7B257EE935}"/>
              </c:ext>
            </c:extLst>
          </c:dPt>
          <c:cat>
            <c:numRef>
              <c:f>'Gill netters'!$D$2:$M$2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'Gill netters'!$D$37:$N$37</c:f>
              <c:numCache>
                <c:formatCode>#,##0.0</c:formatCode>
                <c:ptCount val="11"/>
                <c:pt idx="0">
                  <c:v>37.799999999999997</c:v>
                </c:pt>
                <c:pt idx="1">
                  <c:v>134.30000000000001</c:v>
                </c:pt>
                <c:pt idx="2">
                  <c:v>62.8</c:v>
                </c:pt>
                <c:pt idx="3">
                  <c:v>161.80000000000001</c:v>
                </c:pt>
                <c:pt idx="4">
                  <c:v>209.9</c:v>
                </c:pt>
                <c:pt idx="5">
                  <c:v>136.80000000000001</c:v>
                </c:pt>
                <c:pt idx="6">
                  <c:v>73.5</c:v>
                </c:pt>
                <c:pt idx="7">
                  <c:v>64.5</c:v>
                </c:pt>
                <c:pt idx="8">
                  <c:v>101.2</c:v>
                </c:pt>
                <c:pt idx="9">
                  <c:v>52.9</c:v>
                </c:pt>
                <c:pt idx="10">
                  <c:v>55.9</c:v>
                </c:pt>
              </c:numCache>
            </c:numRef>
          </c:val>
          <c:smooth val="0"/>
          <c:extLst>
            <c:ext xmlns:c16="http://schemas.microsoft.com/office/drawing/2014/chart" uri="{C3380CC4-5D6E-409C-BE32-E72D297353CC}">
              <c16:uniqueId val="{00000004-B225-4658-878C-7A7B257EE935}"/>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'Gill netters'!$A$76</c:f>
          <c:strCache>
            <c:ptCount val="1"/>
            <c:pt idx="0">
              <c:v>Top 5 landed species by volume in 2020
Gill netters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284E-4854-8C26-E24E6E5A3CBE}"/>
              </c:ext>
            </c:extLst>
          </c:dPt>
          <c:dPt>
            <c:idx val="1"/>
            <c:bubble3D val="0"/>
            <c:spPr>
              <a:solidFill>
                <a:srgbClr val="C1D119"/>
              </a:solidFill>
              <a:ln>
                <a:solidFill>
                  <a:srgbClr val="FFFFFF"/>
                </a:solidFill>
              </a:ln>
            </c:spPr>
            <c:extLst>
              <c:ext xmlns:c16="http://schemas.microsoft.com/office/drawing/2014/chart" uri="{C3380CC4-5D6E-409C-BE32-E72D297353CC}">
                <c16:uniqueId val="{00000003-284E-4854-8C26-E24E6E5A3CBE}"/>
              </c:ext>
            </c:extLst>
          </c:dPt>
          <c:dPt>
            <c:idx val="2"/>
            <c:bubble3D val="0"/>
            <c:spPr>
              <a:solidFill>
                <a:srgbClr val="E87308"/>
              </a:solidFill>
              <a:ln>
                <a:solidFill>
                  <a:srgbClr val="FFFFFF"/>
                </a:solidFill>
              </a:ln>
            </c:spPr>
            <c:extLst>
              <c:ext xmlns:c16="http://schemas.microsoft.com/office/drawing/2014/chart" uri="{C3380CC4-5D6E-409C-BE32-E72D297353CC}">
                <c16:uniqueId val="{00000005-284E-4854-8C26-E24E6E5A3CBE}"/>
              </c:ext>
            </c:extLst>
          </c:dPt>
          <c:dPt>
            <c:idx val="3"/>
            <c:bubble3D val="0"/>
            <c:spPr>
              <a:solidFill>
                <a:srgbClr val="648C2E"/>
              </a:solidFill>
              <a:ln>
                <a:solidFill>
                  <a:srgbClr val="FFFFFF"/>
                </a:solidFill>
              </a:ln>
            </c:spPr>
            <c:extLst>
              <c:ext xmlns:c16="http://schemas.microsoft.com/office/drawing/2014/chart" uri="{C3380CC4-5D6E-409C-BE32-E72D297353CC}">
                <c16:uniqueId val="{00000007-284E-4854-8C26-E24E6E5A3CBE}"/>
              </c:ext>
            </c:extLst>
          </c:dPt>
          <c:dPt>
            <c:idx val="4"/>
            <c:bubble3D val="0"/>
            <c:spPr>
              <a:solidFill>
                <a:srgbClr val="0F9AA9"/>
              </a:solidFill>
              <a:ln>
                <a:solidFill>
                  <a:srgbClr val="FFFFFF"/>
                </a:solidFill>
              </a:ln>
            </c:spPr>
            <c:extLst>
              <c:ext xmlns:c16="http://schemas.microsoft.com/office/drawing/2014/chart" uri="{C3380CC4-5D6E-409C-BE32-E72D297353CC}">
                <c16:uniqueId val="{00000009-284E-4854-8C26-E24E6E5A3CBE}"/>
              </c:ext>
            </c:extLst>
          </c:dPt>
          <c:dPt>
            <c:idx val="5"/>
            <c:bubble3D val="0"/>
            <c:spPr>
              <a:solidFill>
                <a:srgbClr val="55585A"/>
              </a:solidFill>
              <a:ln>
                <a:solidFill>
                  <a:srgbClr val="FFFFFF"/>
                </a:solidFill>
              </a:ln>
            </c:spPr>
            <c:extLst>
              <c:ext xmlns:c16="http://schemas.microsoft.com/office/drawing/2014/chart" uri="{C3380CC4-5D6E-409C-BE32-E72D297353CC}">
                <c16:uniqueId val="{0000000B-284E-4854-8C26-E24E6E5A3CBE}"/>
              </c:ext>
            </c:extLst>
          </c:dPt>
          <c:cat>
            <c:strRef>
              <c:f>'Gill netters'!$B$77:$B$82</c:f>
              <c:strCache>
                <c:ptCount val="6"/>
                <c:pt idx="0">
                  <c:v>Anglerfish - 36.4%</c:v>
                </c:pt>
                <c:pt idx="1">
                  <c:v>Pilchards - 29.9%</c:v>
                </c:pt>
                <c:pt idx="2">
                  <c:v>Hake - 17.4%</c:v>
                </c:pt>
                <c:pt idx="3">
                  <c:v>Pollack - 6.6%</c:v>
                </c:pt>
                <c:pt idx="4">
                  <c:v>Haddock - 2.1%</c:v>
                </c:pt>
                <c:pt idx="5">
                  <c:v>Others - 7.5%</c:v>
                </c:pt>
              </c:strCache>
            </c:strRef>
          </c:cat>
          <c:val>
            <c:numRef>
              <c:f>'Gill netters'!$C$77:$C$82</c:f>
              <c:numCache>
                <c:formatCode>0.0%</c:formatCode>
                <c:ptCount val="6"/>
                <c:pt idx="0">
                  <c:v>0.3643222724137008</c:v>
                </c:pt>
                <c:pt idx="1">
                  <c:v>0.29909482060807119</c:v>
                </c:pt>
                <c:pt idx="2">
                  <c:v>0.17412179751996323</c:v>
                </c:pt>
                <c:pt idx="3">
                  <c:v>6.6491863575707882E-2</c:v>
                </c:pt>
                <c:pt idx="4">
                  <c:v>2.0790159848446368E-2</c:v>
                </c:pt>
                <c:pt idx="5">
                  <c:v>7.5179086034110498E-2</c:v>
                </c:pt>
              </c:numCache>
            </c:numRef>
          </c:val>
          <c:extLst>
            <c:ext xmlns:c16="http://schemas.microsoft.com/office/drawing/2014/chart" uri="{C3380CC4-5D6E-409C-BE32-E72D297353CC}">
              <c16:uniqueId val="{0000000C-284E-4854-8C26-E24E6E5A3CBE}"/>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'Gill netters'!$F$76</c:f>
          <c:strCache>
            <c:ptCount val="1"/>
            <c:pt idx="0">
              <c:v>Top 5 landed species by value in 2020
Gill netters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34ED-45C7-A2A5-67B7912AC3B9}"/>
              </c:ext>
            </c:extLst>
          </c:dPt>
          <c:dPt>
            <c:idx val="1"/>
            <c:bubble3D val="0"/>
            <c:spPr>
              <a:solidFill>
                <a:srgbClr val="E87308"/>
              </a:solidFill>
              <a:ln>
                <a:solidFill>
                  <a:srgbClr val="FFFFFF"/>
                </a:solidFill>
              </a:ln>
            </c:spPr>
            <c:extLst>
              <c:ext xmlns:c16="http://schemas.microsoft.com/office/drawing/2014/chart" uri="{C3380CC4-5D6E-409C-BE32-E72D297353CC}">
                <c16:uniqueId val="{00000003-34ED-45C7-A2A5-67B7912AC3B9}"/>
              </c:ext>
            </c:extLst>
          </c:dPt>
          <c:dPt>
            <c:idx val="2"/>
            <c:bubble3D val="0"/>
            <c:spPr>
              <a:solidFill>
                <a:srgbClr val="648C2E"/>
              </a:solidFill>
              <a:ln>
                <a:solidFill>
                  <a:srgbClr val="FFFFFF"/>
                </a:solidFill>
              </a:ln>
            </c:spPr>
            <c:extLst>
              <c:ext xmlns:c16="http://schemas.microsoft.com/office/drawing/2014/chart" uri="{C3380CC4-5D6E-409C-BE32-E72D297353CC}">
                <c16:uniqueId val="{00000005-34ED-45C7-A2A5-67B7912AC3B9}"/>
              </c:ext>
            </c:extLst>
          </c:dPt>
          <c:dPt>
            <c:idx val="3"/>
            <c:bubble3D val="0"/>
            <c:spPr>
              <a:solidFill>
                <a:srgbClr val="C1D119"/>
              </a:solidFill>
              <a:ln>
                <a:solidFill>
                  <a:srgbClr val="FFFFFF"/>
                </a:solidFill>
              </a:ln>
            </c:spPr>
            <c:extLst>
              <c:ext xmlns:c16="http://schemas.microsoft.com/office/drawing/2014/chart" uri="{C3380CC4-5D6E-409C-BE32-E72D297353CC}">
                <c16:uniqueId val="{00000007-34ED-45C7-A2A5-67B7912AC3B9}"/>
              </c:ext>
            </c:extLst>
          </c:dPt>
          <c:dPt>
            <c:idx val="4"/>
            <c:bubble3D val="0"/>
            <c:spPr>
              <a:solidFill>
                <a:srgbClr val="E84A38"/>
              </a:solidFill>
              <a:ln>
                <a:solidFill>
                  <a:srgbClr val="FFFFFF"/>
                </a:solidFill>
              </a:ln>
            </c:spPr>
            <c:extLst>
              <c:ext xmlns:c16="http://schemas.microsoft.com/office/drawing/2014/chart" uri="{C3380CC4-5D6E-409C-BE32-E72D297353CC}">
                <c16:uniqueId val="{00000009-34ED-45C7-A2A5-67B7912AC3B9}"/>
              </c:ext>
            </c:extLst>
          </c:dPt>
          <c:dPt>
            <c:idx val="5"/>
            <c:bubble3D val="0"/>
            <c:spPr>
              <a:solidFill>
                <a:srgbClr val="55585A"/>
              </a:solidFill>
              <a:ln>
                <a:solidFill>
                  <a:srgbClr val="FFFFFF"/>
                </a:solidFill>
              </a:ln>
            </c:spPr>
            <c:extLst>
              <c:ext xmlns:c16="http://schemas.microsoft.com/office/drawing/2014/chart" uri="{C3380CC4-5D6E-409C-BE32-E72D297353CC}">
                <c16:uniqueId val="{0000000B-34ED-45C7-A2A5-67B7912AC3B9}"/>
              </c:ext>
            </c:extLst>
          </c:dPt>
          <c:cat>
            <c:strRef>
              <c:f>'Gill netters'!$G$77:$G$82</c:f>
              <c:strCache>
                <c:ptCount val="6"/>
                <c:pt idx="0">
                  <c:v>Anglerfish - 45.7%</c:v>
                </c:pt>
                <c:pt idx="1">
                  <c:v>Hake - 27.9%</c:v>
                </c:pt>
                <c:pt idx="2">
                  <c:v>Pollack - 8.7%</c:v>
                </c:pt>
                <c:pt idx="3">
                  <c:v>Pilchards - 5.1%</c:v>
                </c:pt>
                <c:pt idx="4">
                  <c:v>Turbot - 3.1%</c:v>
                </c:pt>
                <c:pt idx="5">
                  <c:v>Others - 9.6%</c:v>
                </c:pt>
              </c:strCache>
            </c:strRef>
          </c:cat>
          <c:val>
            <c:numRef>
              <c:f>'Gill netters'!$H$77:$H$82</c:f>
              <c:numCache>
                <c:formatCode>0.0%</c:formatCode>
                <c:ptCount val="6"/>
                <c:pt idx="0">
                  <c:v>0.45653206126868429</c:v>
                </c:pt>
                <c:pt idx="1">
                  <c:v>0.27874578456688354</c:v>
                </c:pt>
                <c:pt idx="2">
                  <c:v>8.7237923099050013E-2</c:v>
                </c:pt>
                <c:pt idx="3">
                  <c:v>5.0565706863700058E-2</c:v>
                </c:pt>
                <c:pt idx="4">
                  <c:v>3.073290143011365E-2</c:v>
                </c:pt>
                <c:pt idx="5">
                  <c:v>9.6185622771568502E-2</c:v>
                </c:pt>
              </c:numCache>
            </c:numRef>
          </c:val>
          <c:extLst>
            <c:ext xmlns:c16="http://schemas.microsoft.com/office/drawing/2014/chart" uri="{C3380CC4-5D6E-409C-BE32-E72D297353CC}">
              <c16:uniqueId val="{0000000C-34ED-45C7-A2A5-67B7912AC3B9}"/>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'Gill netters'!$K$77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'Gill netters'!$C$92</c:f>
              <c:strCache>
                <c:ptCount val="1"/>
                <c:pt idx="0">
                  <c:v>Anglerfish</c:v>
                </c:pt>
              </c:strCache>
            </c:strRef>
          </c:tx>
          <c:spPr>
            <a:solidFill>
              <a:srgbClr val="2273B9"/>
            </a:solidFill>
            <a:ln>
              <a:solidFill>
                <a:srgbClr val="FFFFFF"/>
              </a:solidFill>
            </a:ln>
          </c:spPr>
          <c:invertIfNegative val="0"/>
          <c:cat>
            <c:numRef>
              <c:f>'Gill netters'!$D$91:$M$91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'Gill netters'!$D$92:$M$92</c:f>
              <c:numCache>
                <c:formatCode>0%</c:formatCode>
                <c:ptCount val="10"/>
                <c:pt idx="0">
                  <c:v>0.57545101582194691</c:v>
                </c:pt>
                <c:pt idx="1">
                  <c:v>0.50116003545755916</c:v>
                </c:pt>
                <c:pt idx="2">
                  <c:v>0.5264204761957747</c:v>
                </c:pt>
                <c:pt idx="3">
                  <c:v>0.53102206261319262</c:v>
                </c:pt>
                <c:pt idx="4">
                  <c:v>0.50246725849183882</c:v>
                </c:pt>
                <c:pt idx="5">
                  <c:v>0.43498323178678439</c:v>
                </c:pt>
                <c:pt idx="6">
                  <c:v>0.39245515808732206</c:v>
                </c:pt>
                <c:pt idx="7">
                  <c:v>0.50255080542275821</c:v>
                </c:pt>
                <c:pt idx="8">
                  <c:v>0.45653206126868429</c:v>
                </c:pt>
                <c:pt idx="9">
                  <c:v>0.41472241846848945</c:v>
                </c:pt>
              </c:numCache>
            </c:numRef>
          </c:val>
          <c:extLst>
            <c:ext xmlns:c16="http://schemas.microsoft.com/office/drawing/2014/chart" uri="{C3380CC4-5D6E-409C-BE32-E72D297353CC}">
              <c16:uniqueId val="{00000000-AF8D-4350-8583-26D70D9CFB25}"/>
            </c:ext>
          </c:extLst>
        </c:ser>
        <c:ser>
          <c:idx val="1"/>
          <c:order val="1"/>
          <c:tx>
            <c:strRef>
              <c:f>'Gill netters'!$C$93</c:f>
              <c:strCache>
                <c:ptCount val="1"/>
                <c:pt idx="0">
                  <c:v>Hake</c:v>
                </c:pt>
              </c:strCache>
            </c:strRef>
          </c:tx>
          <c:spPr>
            <a:solidFill>
              <a:srgbClr val="E87308"/>
            </a:solidFill>
            <a:ln>
              <a:solidFill>
                <a:srgbClr val="FFFFFF"/>
              </a:solidFill>
            </a:ln>
          </c:spPr>
          <c:invertIfNegative val="0"/>
          <c:cat>
            <c:numRef>
              <c:f>'Gill netters'!$D$91:$M$91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'Gill netters'!$D$93:$M$93</c:f>
              <c:numCache>
                <c:formatCode>0%</c:formatCode>
                <c:ptCount val="10"/>
                <c:pt idx="0">
                  <c:v>6.5611814848101926E-2</c:v>
                </c:pt>
                <c:pt idx="1">
                  <c:v>0.13999365104237649</c:v>
                </c:pt>
                <c:pt idx="2">
                  <c:v>0.11614284088730938</c:v>
                </c:pt>
                <c:pt idx="3">
                  <c:v>0.17386423956225144</c:v>
                </c:pt>
                <c:pt idx="4">
                  <c:v>0.15024753196050067</c:v>
                </c:pt>
                <c:pt idx="5">
                  <c:v>0.26114922089122727</c:v>
                </c:pt>
                <c:pt idx="6">
                  <c:v>0.36356795311225626</c:v>
                </c:pt>
                <c:pt idx="7">
                  <c:v>0.33550651355699607</c:v>
                </c:pt>
                <c:pt idx="8">
                  <c:v>0.27874578456688354</c:v>
                </c:pt>
                <c:pt idx="9">
                  <c:v>0.32109923413690666</c:v>
                </c:pt>
              </c:numCache>
            </c:numRef>
          </c:val>
          <c:extLst>
            <c:ext xmlns:c16="http://schemas.microsoft.com/office/drawing/2014/chart" uri="{C3380CC4-5D6E-409C-BE32-E72D297353CC}">
              <c16:uniqueId val="{00000001-AF8D-4350-8583-26D70D9CFB25}"/>
            </c:ext>
          </c:extLst>
        </c:ser>
        <c:ser>
          <c:idx val="2"/>
          <c:order val="2"/>
          <c:tx>
            <c:strRef>
              <c:f>'Gill netters'!$C$94</c:f>
              <c:strCache>
                <c:ptCount val="1"/>
                <c:pt idx="0">
                  <c:v>Pollack</c:v>
                </c:pt>
              </c:strCache>
            </c:strRef>
          </c:tx>
          <c:spPr>
            <a:solidFill>
              <a:srgbClr val="648C2E"/>
            </a:solidFill>
            <a:ln>
              <a:solidFill>
                <a:srgbClr val="FFFFFF"/>
              </a:solidFill>
            </a:ln>
          </c:spPr>
          <c:invertIfNegative val="0"/>
          <c:cat>
            <c:numRef>
              <c:f>'Gill netters'!$D$91:$M$91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'Gill netters'!$D$94:$M$94</c:f>
              <c:numCache>
                <c:formatCode>0%</c:formatCode>
                <c:ptCount val="10"/>
                <c:pt idx="0">
                  <c:v>0.12701210956048822</c:v>
                </c:pt>
                <c:pt idx="1">
                  <c:v>0.12690128575604356</c:v>
                </c:pt>
                <c:pt idx="2">
                  <c:v>8.9997113815497076E-2</c:v>
                </c:pt>
                <c:pt idx="3">
                  <c:v>0.10451047323682797</c:v>
                </c:pt>
                <c:pt idx="4">
                  <c:v>0.13816913933642477</c:v>
                </c:pt>
                <c:pt idx="5">
                  <c:v>8.3623613441905359E-2</c:v>
                </c:pt>
                <c:pt idx="6">
                  <c:v>5.3129253089279786E-2</c:v>
                </c:pt>
                <c:pt idx="7">
                  <c:v>3.0691268068435543E-2</c:v>
                </c:pt>
                <c:pt idx="8">
                  <c:v>8.7237923099050013E-2</c:v>
                </c:pt>
                <c:pt idx="9">
                  <c:v>5.8489495532840573E-2</c:v>
                </c:pt>
              </c:numCache>
            </c:numRef>
          </c:val>
          <c:extLst>
            <c:ext xmlns:c16="http://schemas.microsoft.com/office/drawing/2014/chart" uri="{C3380CC4-5D6E-409C-BE32-E72D297353CC}">
              <c16:uniqueId val="{00000002-AF8D-4350-8583-26D70D9CFB25}"/>
            </c:ext>
          </c:extLst>
        </c:ser>
        <c:ser>
          <c:idx val="3"/>
          <c:order val="3"/>
          <c:tx>
            <c:strRef>
              <c:f>'Gill netters'!$C$95</c:f>
              <c:strCache>
                <c:ptCount val="1"/>
                <c:pt idx="0">
                  <c:v>Pilchards</c:v>
                </c:pt>
              </c:strCache>
            </c:strRef>
          </c:tx>
          <c:spPr>
            <a:solidFill>
              <a:srgbClr val="C1D119"/>
            </a:solidFill>
            <a:ln>
              <a:solidFill>
                <a:srgbClr val="FFFFFF"/>
              </a:solidFill>
            </a:ln>
          </c:spPr>
          <c:invertIfNegative val="0"/>
          <c:cat>
            <c:numRef>
              <c:f>'Gill netters'!$D$91:$M$91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'Gill netters'!$D$95:$M$95</c:f>
              <c:numCache>
                <c:formatCode>0%</c:formatCode>
                <c:ptCount val="10"/>
                <c:pt idx="1">
                  <c:v>4.9621307553054245E-2</c:v>
                </c:pt>
                <c:pt idx="3">
                  <c:v>2.1254795697274315E-2</c:v>
                </c:pt>
                <c:pt idx="5">
                  <c:v>3.3742581017777599E-2</c:v>
                </c:pt>
                <c:pt idx="6">
                  <c:v>4.4981469394183744E-2</c:v>
                </c:pt>
                <c:pt idx="7">
                  <c:v>2.1982962591874551E-2</c:v>
                </c:pt>
                <c:pt idx="8">
                  <c:v>5.0565706863700058E-2</c:v>
                </c:pt>
                <c:pt idx="9">
                  <c:v>3.7647493739944984E-2</c:v>
                </c:pt>
              </c:numCache>
            </c:numRef>
          </c:val>
          <c:extLst>
            <c:ext xmlns:c16="http://schemas.microsoft.com/office/drawing/2014/chart" uri="{C3380CC4-5D6E-409C-BE32-E72D297353CC}">
              <c16:uniqueId val="{00000003-AF8D-4350-8583-26D70D9CFB25}"/>
            </c:ext>
          </c:extLst>
        </c:ser>
        <c:ser>
          <c:idx val="4"/>
          <c:order val="4"/>
          <c:tx>
            <c:strRef>
              <c:f>'Gill netters'!$C$96</c:f>
              <c:strCache>
                <c:ptCount val="1"/>
                <c:pt idx="0">
                  <c:v>Turbot</c:v>
                </c:pt>
              </c:strCache>
            </c:strRef>
          </c:tx>
          <c:spPr>
            <a:solidFill>
              <a:srgbClr val="E84A38"/>
            </a:solidFill>
            <a:ln>
              <a:solidFill>
                <a:srgbClr val="FFFFFF"/>
              </a:solidFill>
            </a:ln>
          </c:spPr>
          <c:invertIfNegative val="0"/>
          <c:cat>
            <c:numRef>
              <c:f>'Gill netters'!$D$91:$M$91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'Gill netters'!$D$96:$M$96</c:f>
              <c:numCache>
                <c:formatCode>0%</c:formatCode>
                <c:ptCount val="10"/>
                <c:pt idx="0">
                  <c:v>5.0010328821231007E-2</c:v>
                </c:pt>
                <c:pt idx="1">
                  <c:v>4.6203385419087896E-2</c:v>
                </c:pt>
                <c:pt idx="2">
                  <c:v>5.7566587462359937E-2</c:v>
                </c:pt>
                <c:pt idx="3">
                  <c:v>7.4084531282658544E-2</c:v>
                </c:pt>
                <c:pt idx="4">
                  <c:v>6.2957726183678231E-2</c:v>
                </c:pt>
                <c:pt idx="5">
                  <c:v>7.7523907466365657E-2</c:v>
                </c:pt>
                <c:pt idx="6">
                  <c:v>5.2389363514394251E-2</c:v>
                </c:pt>
                <c:pt idx="7">
                  <c:v>3.9225525286205709E-2</c:v>
                </c:pt>
                <c:pt idx="8">
                  <c:v>3.073290143011365E-2</c:v>
                </c:pt>
                <c:pt idx="9">
                  <c:v>6.565033541394559E-2</c:v>
                </c:pt>
              </c:numCache>
            </c:numRef>
          </c:val>
          <c:extLst>
            <c:ext xmlns:c16="http://schemas.microsoft.com/office/drawing/2014/chart" uri="{C3380CC4-5D6E-409C-BE32-E72D297353CC}">
              <c16:uniqueId val="{00000004-AF8D-4350-8583-26D70D9CFB25}"/>
            </c:ext>
          </c:extLst>
        </c:ser>
        <c:ser>
          <c:idx val="5"/>
          <c:order val="5"/>
          <c:tx>
            <c:strRef>
              <c:f>'Gill netters'!$C$97</c:f>
              <c:strCache>
                <c:ptCount val="1"/>
                <c:pt idx="0">
                  <c:v>Cod</c:v>
                </c:pt>
              </c:strCache>
            </c:strRef>
          </c:tx>
          <c:spPr>
            <a:solidFill>
              <a:srgbClr val="0F9AA9"/>
            </a:solidFill>
            <a:ln>
              <a:solidFill>
                <a:srgbClr val="FFFFFF"/>
              </a:solidFill>
            </a:ln>
          </c:spPr>
          <c:invertIfNegative val="0"/>
          <c:cat>
            <c:numRef>
              <c:f>'Gill netters'!$D$91:$M$91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'Gill netters'!$D$97:$M$97</c:f>
              <c:numCache>
                <c:formatCode>0%</c:formatCode>
                <c:ptCount val="10"/>
                <c:pt idx="0">
                  <c:v>4.6716316234309892E-2</c:v>
                </c:pt>
                <c:pt idx="4">
                  <c:v>2.6820950027011702E-2</c:v>
                </c:pt>
              </c:numCache>
            </c:numRef>
          </c:val>
          <c:extLst>
            <c:ext xmlns:c16="http://schemas.microsoft.com/office/drawing/2014/chart" uri="{C3380CC4-5D6E-409C-BE32-E72D297353CC}">
              <c16:uniqueId val="{00000005-AF8D-4350-8583-26D70D9CFB25}"/>
            </c:ext>
          </c:extLst>
        </c:ser>
        <c:ser>
          <c:idx val="6"/>
          <c:order val="6"/>
          <c:tx>
            <c:strRef>
              <c:f>'Gill netters'!$C$98</c:f>
              <c:strCache>
                <c:ptCount val="1"/>
                <c:pt idx="0">
                  <c:v>Plaice</c:v>
                </c:pt>
              </c:strCache>
            </c:strRef>
          </c:tx>
          <c:spPr>
            <a:solidFill>
              <a:srgbClr val="FED825"/>
            </a:solidFill>
            <a:ln>
              <a:solidFill>
                <a:srgbClr val="FFFFFF"/>
              </a:solidFill>
            </a:ln>
          </c:spPr>
          <c:invertIfNegative val="0"/>
          <c:cat>
            <c:numRef>
              <c:f>'Gill netters'!$D$91:$M$91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'Gill netters'!$D$98:$M$98</c:f>
              <c:numCache>
                <c:formatCode>0%</c:formatCode>
                <c:ptCount val="10"/>
                <c:pt idx="2">
                  <c:v>3.5113066632180112E-2</c:v>
                </c:pt>
              </c:numCache>
            </c:numRef>
          </c:val>
          <c:extLst>
            <c:ext xmlns:c16="http://schemas.microsoft.com/office/drawing/2014/chart" uri="{C3380CC4-5D6E-409C-BE32-E72D297353CC}">
              <c16:uniqueId val="{00000006-AF8D-4350-8583-26D70D9CFB25}"/>
            </c:ext>
          </c:extLst>
        </c:ser>
        <c:ser>
          <c:idx val="7"/>
          <c:order val="7"/>
          <c:tx>
            <c:strRef>
              <c:f>'Gill netters'!$C$99</c:f>
              <c:strCache>
                <c:ptCount val="1"/>
                <c:pt idx="0">
                  <c:v>Others</c:v>
                </c:pt>
              </c:strCache>
            </c:strRef>
          </c:tx>
          <c:spPr>
            <a:solidFill>
              <a:srgbClr val="55585A"/>
            </a:solidFill>
            <a:ln>
              <a:solidFill>
                <a:srgbClr val="FFFFFF"/>
              </a:solidFill>
            </a:ln>
          </c:spPr>
          <c:invertIfNegative val="0"/>
          <c:cat>
            <c:numRef>
              <c:f>'Gill netters'!$D$91:$M$91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'Gill netters'!$D$99:$M$99</c:f>
              <c:numCache>
                <c:formatCode>0%</c:formatCode>
                <c:ptCount val="10"/>
                <c:pt idx="0">
                  <c:v>0.13519841471392205</c:v>
                </c:pt>
                <c:pt idx="1">
                  <c:v>0.1361203347718786</c:v>
                </c:pt>
                <c:pt idx="2">
                  <c:v>0.17475991500687876</c:v>
                </c:pt>
                <c:pt idx="3">
                  <c:v>9.526389760779512E-2</c:v>
                </c:pt>
                <c:pt idx="4">
                  <c:v>0.11933739400054581</c:v>
                </c:pt>
                <c:pt idx="5">
                  <c:v>0.1089774453959397</c:v>
                </c:pt>
                <c:pt idx="6">
                  <c:v>9.3476802802563902E-2</c:v>
                </c:pt>
                <c:pt idx="7">
                  <c:v>7.0042925073729931E-2</c:v>
                </c:pt>
                <c:pt idx="8">
                  <c:v>9.6185622771568474E-2</c:v>
                </c:pt>
                <c:pt idx="9">
                  <c:v>0.10239102270787279</c:v>
                </c:pt>
              </c:numCache>
            </c:numRef>
          </c:val>
          <c:extLst>
            <c:ext xmlns:c16="http://schemas.microsoft.com/office/drawing/2014/chart" uri="{C3380CC4-5D6E-409C-BE32-E72D297353CC}">
              <c16:uniqueId val="{00000007-AF8D-4350-8583-26D70D9CFB25}"/>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demersal trawl'!$A$76</c:f>
          <c:strCache>
            <c:ptCount val="1"/>
            <c:pt idx="0">
              <c:v>Top 5 landed species by volume in 2020
Area VIIA demersal trawl</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FBD4-4148-B166-575198F73242}"/>
              </c:ext>
            </c:extLst>
          </c:dPt>
          <c:dPt>
            <c:idx val="1"/>
            <c:bubble3D val="0"/>
            <c:spPr>
              <a:solidFill>
                <a:srgbClr val="648C2E"/>
              </a:solidFill>
              <a:ln>
                <a:solidFill>
                  <a:srgbClr val="FFFFFF"/>
                </a:solidFill>
              </a:ln>
            </c:spPr>
            <c:extLst>
              <c:ext xmlns:c16="http://schemas.microsoft.com/office/drawing/2014/chart" uri="{C3380CC4-5D6E-409C-BE32-E72D297353CC}">
                <c16:uniqueId val="{00000003-FBD4-4148-B166-575198F73242}"/>
              </c:ext>
            </c:extLst>
          </c:dPt>
          <c:dPt>
            <c:idx val="2"/>
            <c:bubble3D val="0"/>
            <c:spPr>
              <a:solidFill>
                <a:srgbClr val="E87308"/>
              </a:solidFill>
              <a:ln>
                <a:solidFill>
                  <a:srgbClr val="FFFFFF"/>
                </a:solidFill>
              </a:ln>
            </c:spPr>
            <c:extLst>
              <c:ext xmlns:c16="http://schemas.microsoft.com/office/drawing/2014/chart" uri="{C3380CC4-5D6E-409C-BE32-E72D297353CC}">
                <c16:uniqueId val="{00000005-FBD4-4148-B166-575198F73242}"/>
              </c:ext>
            </c:extLst>
          </c:dPt>
          <c:dPt>
            <c:idx val="3"/>
            <c:bubble3D val="0"/>
            <c:spPr>
              <a:solidFill>
                <a:srgbClr val="C1D119"/>
              </a:solidFill>
              <a:ln>
                <a:solidFill>
                  <a:srgbClr val="FFFFFF"/>
                </a:solidFill>
              </a:ln>
            </c:spPr>
            <c:extLst>
              <c:ext xmlns:c16="http://schemas.microsoft.com/office/drawing/2014/chart" uri="{C3380CC4-5D6E-409C-BE32-E72D297353CC}">
                <c16:uniqueId val="{00000007-FBD4-4148-B166-575198F73242}"/>
              </c:ext>
            </c:extLst>
          </c:dPt>
          <c:dPt>
            <c:idx val="4"/>
            <c:bubble3D val="0"/>
            <c:spPr>
              <a:solidFill>
                <a:srgbClr val="0F9AA9"/>
              </a:solidFill>
              <a:ln>
                <a:solidFill>
                  <a:srgbClr val="FFFFFF"/>
                </a:solidFill>
              </a:ln>
            </c:spPr>
            <c:extLst>
              <c:ext xmlns:c16="http://schemas.microsoft.com/office/drawing/2014/chart" uri="{C3380CC4-5D6E-409C-BE32-E72D297353CC}">
                <c16:uniqueId val="{00000009-FBD4-4148-B166-575198F73242}"/>
              </c:ext>
            </c:extLst>
          </c:dPt>
          <c:dPt>
            <c:idx val="5"/>
            <c:bubble3D val="0"/>
            <c:spPr>
              <a:solidFill>
                <a:srgbClr val="55585A"/>
              </a:solidFill>
              <a:ln>
                <a:solidFill>
                  <a:srgbClr val="FFFFFF"/>
                </a:solidFill>
              </a:ln>
            </c:spPr>
            <c:extLst>
              <c:ext xmlns:c16="http://schemas.microsoft.com/office/drawing/2014/chart" uri="{C3380CC4-5D6E-409C-BE32-E72D297353CC}">
                <c16:uniqueId val="{0000000B-FBD4-4148-B166-575198F73242}"/>
              </c:ext>
            </c:extLst>
          </c:dPt>
          <c:cat>
            <c:strRef>
              <c:f>'Area VIIa demersal trawl'!$B$77:$B$82</c:f>
              <c:strCache>
                <c:ptCount val="6"/>
                <c:pt idx="0">
                  <c:v>Haddock - 59.5%</c:v>
                </c:pt>
                <c:pt idx="1">
                  <c:v>Hake - 9.0%</c:v>
                </c:pt>
                <c:pt idx="2">
                  <c:v>Cod - 8.7%</c:v>
                </c:pt>
                <c:pt idx="3">
                  <c:v>Scallops - 4.3%</c:v>
                </c:pt>
                <c:pt idx="4">
                  <c:v>Queen Scallops - 3.0%</c:v>
                </c:pt>
                <c:pt idx="5">
                  <c:v>Others - 15.5%</c:v>
                </c:pt>
              </c:strCache>
            </c:strRef>
          </c:cat>
          <c:val>
            <c:numRef>
              <c:f>'Area VIIa demersal trawl'!$C$77:$C$82</c:f>
              <c:numCache>
                <c:formatCode>0.0%</c:formatCode>
                <c:ptCount val="6"/>
                <c:pt idx="0">
                  <c:v>0.59495204684464253</c:v>
                </c:pt>
                <c:pt idx="1">
                  <c:v>8.9844439943561658E-2</c:v>
                </c:pt>
                <c:pt idx="2">
                  <c:v>8.7132727325268569E-2</c:v>
                </c:pt>
                <c:pt idx="3">
                  <c:v>4.2812668250329554E-2</c:v>
                </c:pt>
                <c:pt idx="4">
                  <c:v>2.9814022329834239E-2</c:v>
                </c:pt>
                <c:pt idx="5">
                  <c:v>0.15544409530636349</c:v>
                </c:pt>
              </c:numCache>
            </c:numRef>
          </c:val>
          <c:extLst>
            <c:ext xmlns:c16="http://schemas.microsoft.com/office/drawing/2014/chart" uri="{C3380CC4-5D6E-409C-BE32-E72D297353CC}">
              <c16:uniqueId val="{0000000C-FBD4-4148-B166-575198F7324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'Gill netters'!$B$162</c:f>
              <c:strCache>
                <c:ptCount val="1"/>
                <c:pt idx="0">
                  <c:v>Anglerfish</c:v>
                </c:pt>
              </c:strCache>
            </c:strRef>
          </c:tx>
          <c:spPr>
            <a:solidFill>
              <a:srgbClr val="2273B9"/>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netters'!$C$162:$E$162</c:f>
              <c:numCache>
                <c:formatCode>0%</c:formatCode>
                <c:ptCount val="3"/>
                <c:pt idx="0">
                  <c:v>0</c:v>
                </c:pt>
                <c:pt idx="1">
                  <c:v>0.51494736501014948</c:v>
                </c:pt>
                <c:pt idx="2">
                  <c:v>0.61470654786619872</c:v>
                </c:pt>
              </c:numCache>
            </c:numRef>
          </c:val>
          <c:extLst>
            <c:ext xmlns:c16="http://schemas.microsoft.com/office/drawing/2014/chart" uri="{C3380CC4-5D6E-409C-BE32-E72D297353CC}">
              <c16:uniqueId val="{00000000-9A11-4625-ABC6-B7850CB428EB}"/>
            </c:ext>
          </c:extLst>
        </c:ser>
        <c:ser>
          <c:idx val="1"/>
          <c:order val="1"/>
          <c:tx>
            <c:strRef>
              <c:f>'Gill netters'!$B$163</c:f>
              <c:strCache>
                <c:ptCount val="1"/>
                <c:pt idx="0">
                  <c:v>Hake</c:v>
                </c:pt>
              </c:strCache>
            </c:strRef>
          </c:tx>
          <c:spPr>
            <a:solidFill>
              <a:srgbClr val="E87308"/>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netters'!$C$163:$E$163</c:f>
              <c:numCache>
                <c:formatCode>0%</c:formatCode>
                <c:ptCount val="3"/>
                <c:pt idx="0">
                  <c:v>8.6557578697191075E-3</c:v>
                </c:pt>
                <c:pt idx="1">
                  <c:v>0.29457861471851815</c:v>
                </c:pt>
                <c:pt idx="2">
                  <c:v>0.18296075989997498</c:v>
                </c:pt>
              </c:numCache>
            </c:numRef>
          </c:val>
          <c:extLst>
            <c:ext xmlns:c16="http://schemas.microsoft.com/office/drawing/2014/chart" uri="{C3380CC4-5D6E-409C-BE32-E72D297353CC}">
              <c16:uniqueId val="{00000001-9A11-4625-ABC6-B7850CB428EB}"/>
            </c:ext>
          </c:extLst>
        </c:ser>
        <c:ser>
          <c:idx val="2"/>
          <c:order val="2"/>
          <c:tx>
            <c:strRef>
              <c:f>'Gill netters'!$B$164</c:f>
              <c:strCache>
                <c:ptCount val="1"/>
                <c:pt idx="0">
                  <c:v>Pollack</c:v>
                </c:pt>
              </c:strCache>
            </c:strRef>
          </c:tx>
          <c:spPr>
            <a:solidFill>
              <a:srgbClr val="648C2E"/>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netters'!$C$164:$E$164</c:f>
              <c:numCache>
                <c:formatCode>0%</c:formatCode>
                <c:ptCount val="3"/>
                <c:pt idx="0">
                  <c:v>8.175961480138565E-3</c:v>
                </c:pt>
                <c:pt idx="1">
                  <c:v>8.6284653096749361E-2</c:v>
                </c:pt>
                <c:pt idx="2">
                  <c:v>0.11249532005873961</c:v>
                </c:pt>
              </c:numCache>
            </c:numRef>
          </c:val>
          <c:extLst>
            <c:ext xmlns:c16="http://schemas.microsoft.com/office/drawing/2014/chart" uri="{C3380CC4-5D6E-409C-BE32-E72D297353CC}">
              <c16:uniqueId val="{00000002-9A11-4625-ABC6-B7850CB428EB}"/>
            </c:ext>
          </c:extLst>
        </c:ser>
        <c:ser>
          <c:idx val="3"/>
          <c:order val="3"/>
          <c:tx>
            <c:strRef>
              <c:f>'Gill netters'!$B$165</c:f>
              <c:strCache>
                <c:ptCount val="1"/>
                <c:pt idx="0">
                  <c:v>Haddock</c:v>
                </c:pt>
              </c:strCache>
            </c:strRef>
          </c:tx>
          <c:spPr>
            <a:solidFill>
              <a:srgbClr val="0F9AA9"/>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netters'!$C$165:$E$165</c:f>
              <c:numCache>
                <c:formatCode>0%</c:formatCode>
                <c:ptCount val="3"/>
                <c:pt idx="0">
                  <c:v>0</c:v>
                </c:pt>
                <c:pt idx="1">
                  <c:v>2.9772105453560193E-2</c:v>
                </c:pt>
                <c:pt idx="2">
                  <c:v>3.11312832898696E-2</c:v>
                </c:pt>
              </c:numCache>
            </c:numRef>
          </c:val>
          <c:extLst>
            <c:ext xmlns:c16="http://schemas.microsoft.com/office/drawing/2014/chart" uri="{C3380CC4-5D6E-409C-BE32-E72D297353CC}">
              <c16:uniqueId val="{00000003-9A11-4625-ABC6-B7850CB428EB}"/>
            </c:ext>
          </c:extLst>
        </c:ser>
        <c:ser>
          <c:idx val="4"/>
          <c:order val="4"/>
          <c:tx>
            <c:strRef>
              <c:f>'Gill netters'!$B$166</c:f>
              <c:strCache>
                <c:ptCount val="1"/>
                <c:pt idx="0">
                  <c:v>Ling</c:v>
                </c:pt>
              </c:strCache>
            </c:strRef>
          </c:tx>
          <c:spPr>
            <a:solidFill>
              <a:srgbClr val="FED825"/>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netters'!$C$166:$E$166</c:f>
              <c:numCache>
                <c:formatCode>0%</c:formatCode>
                <c:ptCount val="3"/>
                <c:pt idx="0">
                  <c:v>0</c:v>
                </c:pt>
                <c:pt idx="1">
                  <c:v>2.17128585533015E-2</c:v>
                </c:pt>
                <c:pt idx="2">
                  <c:v>0</c:v>
                </c:pt>
              </c:numCache>
            </c:numRef>
          </c:val>
          <c:extLst>
            <c:ext xmlns:c16="http://schemas.microsoft.com/office/drawing/2014/chart" uri="{C3380CC4-5D6E-409C-BE32-E72D297353CC}">
              <c16:uniqueId val="{00000004-9A11-4625-ABC6-B7850CB428EB}"/>
            </c:ext>
          </c:extLst>
        </c:ser>
        <c:ser>
          <c:idx val="5"/>
          <c:order val="5"/>
          <c:tx>
            <c:strRef>
              <c:f>'Gill netters'!$B$167</c:f>
              <c:strCache>
                <c:ptCount val="1"/>
                <c:pt idx="0">
                  <c:v>Turbot</c:v>
                </c:pt>
              </c:strCache>
            </c:strRef>
          </c:tx>
          <c:spPr>
            <a:solidFill>
              <a:srgbClr val="E84A38"/>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netters'!$C$167:$E$167</c:f>
              <c:numCache>
                <c:formatCode>0%</c:formatCode>
                <c:ptCount val="3"/>
                <c:pt idx="0">
                  <c:v>0</c:v>
                </c:pt>
                <c:pt idx="1">
                  <c:v>0</c:v>
                </c:pt>
                <c:pt idx="2">
                  <c:v>1.5859911889672503E-2</c:v>
                </c:pt>
              </c:numCache>
            </c:numRef>
          </c:val>
          <c:extLst>
            <c:ext xmlns:c16="http://schemas.microsoft.com/office/drawing/2014/chart" uri="{C3380CC4-5D6E-409C-BE32-E72D297353CC}">
              <c16:uniqueId val="{00000005-9A11-4625-ABC6-B7850CB428EB}"/>
            </c:ext>
          </c:extLst>
        </c:ser>
        <c:ser>
          <c:idx val="6"/>
          <c:order val="6"/>
          <c:tx>
            <c:strRef>
              <c:f>'Gill netters'!$B$168</c:f>
              <c:strCache>
                <c:ptCount val="1"/>
                <c:pt idx="0">
                  <c:v>Pilchards</c:v>
                </c:pt>
              </c:strCache>
            </c:strRef>
          </c:tx>
          <c:spPr>
            <a:solidFill>
              <a:srgbClr val="C1D119"/>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netters'!$C$168:$E$168</c:f>
              <c:numCache>
                <c:formatCode>0%</c:formatCode>
                <c:ptCount val="3"/>
                <c:pt idx="0">
                  <c:v>0.7323582490175583</c:v>
                </c:pt>
                <c:pt idx="1">
                  <c:v>0</c:v>
                </c:pt>
                <c:pt idx="2">
                  <c:v>0</c:v>
                </c:pt>
              </c:numCache>
            </c:numRef>
          </c:val>
          <c:extLst>
            <c:ext xmlns:c16="http://schemas.microsoft.com/office/drawing/2014/chart" uri="{C3380CC4-5D6E-409C-BE32-E72D297353CC}">
              <c16:uniqueId val="{00000006-9A11-4625-ABC6-B7850CB428EB}"/>
            </c:ext>
          </c:extLst>
        </c:ser>
        <c:ser>
          <c:idx val="7"/>
          <c:order val="7"/>
          <c:tx>
            <c:strRef>
              <c:f>'Gill netters'!$B$169</c:f>
              <c:strCache>
                <c:ptCount val="1"/>
                <c:pt idx="0">
                  <c:v>Anchovy</c:v>
                </c:pt>
              </c:strCache>
            </c:strRef>
          </c:tx>
          <c:spPr>
            <a:solidFill>
              <a:srgbClr val="707271"/>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netters'!$C$169:$E$169</c:f>
              <c:numCache>
                <c:formatCode>0%</c:formatCode>
                <c:ptCount val="3"/>
                <c:pt idx="0">
                  <c:v>1.6608274520604011E-2</c:v>
                </c:pt>
                <c:pt idx="1">
                  <c:v>0</c:v>
                </c:pt>
                <c:pt idx="2">
                  <c:v>0</c:v>
                </c:pt>
              </c:numCache>
            </c:numRef>
          </c:val>
          <c:extLst>
            <c:ext xmlns:c16="http://schemas.microsoft.com/office/drawing/2014/chart" uri="{C3380CC4-5D6E-409C-BE32-E72D297353CC}">
              <c16:uniqueId val="{00000007-9A11-4625-ABC6-B7850CB428EB}"/>
            </c:ext>
          </c:extLst>
        </c:ser>
        <c:ser>
          <c:idx val="8"/>
          <c:order val="8"/>
          <c:tx>
            <c:strRef>
              <c:f>'Gill netters'!$B$170</c:f>
              <c:strCache>
                <c:ptCount val="1"/>
                <c:pt idx="0">
                  <c:v>Mackerel</c:v>
                </c:pt>
              </c:strCache>
            </c:strRef>
          </c:tx>
          <c:spPr>
            <a:solidFill>
              <a:srgbClr val="51AA81"/>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netters'!$C$170:$E$170</c:f>
              <c:numCache>
                <c:formatCode>0%</c:formatCode>
                <c:ptCount val="3"/>
                <c:pt idx="0">
                  <c:v>2.0380771145854138E-3</c:v>
                </c:pt>
                <c:pt idx="1">
                  <c:v>0</c:v>
                </c:pt>
                <c:pt idx="2">
                  <c:v>0</c:v>
                </c:pt>
              </c:numCache>
            </c:numRef>
          </c:val>
          <c:extLst>
            <c:ext xmlns:c16="http://schemas.microsoft.com/office/drawing/2014/chart" uri="{C3380CC4-5D6E-409C-BE32-E72D297353CC}">
              <c16:uniqueId val="{00000008-9A11-4625-ABC6-B7850CB428EB}"/>
            </c:ext>
          </c:extLst>
        </c:ser>
        <c:ser>
          <c:idx val="9"/>
          <c:order val="9"/>
          <c:tx>
            <c:strRef>
              <c:f>'Gill netters'!$B$171</c:f>
              <c:strCache>
                <c:ptCount val="1"/>
                <c:pt idx="0">
                  <c:v>Others</c:v>
                </c:pt>
              </c:strCache>
            </c:strRef>
          </c:tx>
          <c:spPr>
            <a:solidFill>
              <a:srgbClr val="55585A"/>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netters'!$C$171:$E$171</c:f>
              <c:numCache>
                <c:formatCode>0%</c:formatCode>
                <c:ptCount val="3"/>
                <c:pt idx="0">
                  <c:v>0.23216367999739473</c:v>
                </c:pt>
                <c:pt idx="1">
                  <c:v>5.2704403167721292E-2</c:v>
                </c:pt>
                <c:pt idx="2">
                  <c:v>4.2846176995544605E-2</c:v>
                </c:pt>
              </c:numCache>
            </c:numRef>
          </c:val>
          <c:extLst>
            <c:ext xmlns:c16="http://schemas.microsoft.com/office/drawing/2014/chart" uri="{C3380CC4-5D6E-409C-BE32-E72D297353CC}">
              <c16:uniqueId val="{00000009-9A11-4625-ABC6-B7850CB428EB}"/>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'Gill netters'!$H$162</c:f>
              <c:strCache>
                <c:ptCount val="1"/>
                <c:pt idx="0">
                  <c:v>Anglerfish</c:v>
                </c:pt>
              </c:strCache>
            </c:strRef>
          </c:tx>
          <c:spPr>
            <a:solidFill>
              <a:srgbClr val="2273B9"/>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netters'!$I$162:$K$162</c:f>
              <c:numCache>
                <c:formatCode>0%</c:formatCode>
                <c:ptCount val="3"/>
                <c:pt idx="0">
                  <c:v>0</c:v>
                </c:pt>
                <c:pt idx="1">
                  <c:v>0.50766257683082006</c:v>
                </c:pt>
                <c:pt idx="2">
                  <c:v>0.510955141020356</c:v>
                </c:pt>
              </c:numCache>
            </c:numRef>
          </c:val>
          <c:extLst>
            <c:ext xmlns:c16="http://schemas.microsoft.com/office/drawing/2014/chart" uri="{C3380CC4-5D6E-409C-BE32-E72D297353CC}">
              <c16:uniqueId val="{00000000-6433-463D-B172-EB89C504FF46}"/>
            </c:ext>
          </c:extLst>
        </c:ser>
        <c:ser>
          <c:idx val="1"/>
          <c:order val="1"/>
          <c:tx>
            <c:strRef>
              <c:f>'Gill netters'!$H$163</c:f>
              <c:strCache>
                <c:ptCount val="1"/>
                <c:pt idx="0">
                  <c:v>Hake</c:v>
                </c:pt>
              </c:strCache>
            </c:strRef>
          </c:tx>
          <c:spPr>
            <a:solidFill>
              <a:srgbClr val="E87308"/>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netters'!$I$163:$K$163</c:f>
              <c:numCache>
                <c:formatCode>0%</c:formatCode>
                <c:ptCount val="3"/>
                <c:pt idx="0">
                  <c:v>9.8895369367401221E-3</c:v>
                </c:pt>
                <c:pt idx="1">
                  <c:v>0.33208800126626842</c:v>
                </c:pt>
                <c:pt idx="2">
                  <c:v>0.23497998766160194</c:v>
                </c:pt>
              </c:numCache>
            </c:numRef>
          </c:val>
          <c:extLst>
            <c:ext xmlns:c16="http://schemas.microsoft.com/office/drawing/2014/chart" uri="{C3380CC4-5D6E-409C-BE32-E72D297353CC}">
              <c16:uniqueId val="{00000001-6433-463D-B172-EB89C504FF46}"/>
            </c:ext>
          </c:extLst>
        </c:ser>
        <c:ser>
          <c:idx val="2"/>
          <c:order val="2"/>
          <c:tx>
            <c:strRef>
              <c:f>'Gill netters'!$H$164</c:f>
              <c:strCache>
                <c:ptCount val="1"/>
                <c:pt idx="0">
                  <c:v>Pollack</c:v>
                </c:pt>
              </c:strCache>
            </c:strRef>
          </c:tx>
          <c:spPr>
            <a:solidFill>
              <a:srgbClr val="648C2E"/>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netters'!$I$164:$K$164</c:f>
              <c:numCache>
                <c:formatCode>0%</c:formatCode>
                <c:ptCount val="3"/>
                <c:pt idx="0">
                  <c:v>7.2471649819289092E-3</c:v>
                </c:pt>
                <c:pt idx="1">
                  <c:v>7.40285939453032E-2</c:v>
                </c:pt>
                <c:pt idx="2">
                  <c:v>0.13242137444248475</c:v>
                </c:pt>
              </c:numCache>
            </c:numRef>
          </c:val>
          <c:extLst>
            <c:ext xmlns:c16="http://schemas.microsoft.com/office/drawing/2014/chart" uri="{C3380CC4-5D6E-409C-BE32-E72D297353CC}">
              <c16:uniqueId val="{00000002-6433-463D-B172-EB89C504FF46}"/>
            </c:ext>
          </c:extLst>
        </c:ser>
        <c:ser>
          <c:idx val="3"/>
          <c:order val="3"/>
          <c:tx>
            <c:strRef>
              <c:f>'Gill netters'!$H$165</c:f>
              <c:strCache>
                <c:ptCount val="1"/>
                <c:pt idx="0">
                  <c:v>Haddock</c:v>
                </c:pt>
              </c:strCache>
            </c:strRef>
          </c:tx>
          <c:spPr>
            <a:solidFill>
              <a:srgbClr val="0F9AA9"/>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netters'!$I$165:$K$165</c:f>
              <c:numCache>
                <c:formatCode>0%</c:formatCode>
                <c:ptCount val="3"/>
                <c:pt idx="0">
                  <c:v>0</c:v>
                </c:pt>
                <c:pt idx="1">
                  <c:v>2.5188045335201234E-2</c:v>
                </c:pt>
                <c:pt idx="2">
                  <c:v>3.0803388540517881E-2</c:v>
                </c:pt>
              </c:numCache>
            </c:numRef>
          </c:val>
          <c:extLst>
            <c:ext xmlns:c16="http://schemas.microsoft.com/office/drawing/2014/chart" uri="{C3380CC4-5D6E-409C-BE32-E72D297353CC}">
              <c16:uniqueId val="{00000003-6433-463D-B172-EB89C504FF46}"/>
            </c:ext>
          </c:extLst>
        </c:ser>
        <c:ser>
          <c:idx val="4"/>
          <c:order val="4"/>
          <c:tx>
            <c:strRef>
              <c:f>'Gill netters'!$H$166</c:f>
              <c:strCache>
                <c:ptCount val="1"/>
                <c:pt idx="0">
                  <c:v>Turbot</c:v>
                </c:pt>
              </c:strCache>
            </c:strRef>
          </c:tx>
          <c:spPr>
            <a:solidFill>
              <a:srgbClr val="E84A38"/>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netters'!$I$166:$K$166</c:f>
              <c:numCache>
                <c:formatCode>0%</c:formatCode>
                <c:ptCount val="3"/>
                <c:pt idx="0">
                  <c:v>0</c:v>
                </c:pt>
                <c:pt idx="1">
                  <c:v>2.3767140835667337E-2</c:v>
                </c:pt>
                <c:pt idx="2">
                  <c:v>5.7383701271102087E-2</c:v>
                </c:pt>
              </c:numCache>
            </c:numRef>
          </c:val>
          <c:extLst>
            <c:ext xmlns:c16="http://schemas.microsoft.com/office/drawing/2014/chart" uri="{C3380CC4-5D6E-409C-BE32-E72D297353CC}">
              <c16:uniqueId val="{00000004-6433-463D-B172-EB89C504FF46}"/>
            </c:ext>
          </c:extLst>
        </c:ser>
        <c:ser>
          <c:idx val="5"/>
          <c:order val="5"/>
          <c:tx>
            <c:strRef>
              <c:f>'Gill netters'!$H$167</c:f>
              <c:strCache>
                <c:ptCount val="1"/>
                <c:pt idx="0">
                  <c:v>Pilchards</c:v>
                </c:pt>
              </c:strCache>
            </c:strRef>
          </c:tx>
          <c:spPr>
            <a:solidFill>
              <a:srgbClr val="C1D119"/>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netters'!$I$167:$K$167</c:f>
              <c:numCache>
                <c:formatCode>0%</c:formatCode>
                <c:ptCount val="3"/>
                <c:pt idx="0">
                  <c:v>7.1850454421612392E-2</c:v>
                </c:pt>
                <c:pt idx="1">
                  <c:v>0</c:v>
                </c:pt>
                <c:pt idx="2">
                  <c:v>0</c:v>
                </c:pt>
              </c:numCache>
            </c:numRef>
          </c:val>
          <c:extLst>
            <c:ext xmlns:c16="http://schemas.microsoft.com/office/drawing/2014/chart" uri="{C3380CC4-5D6E-409C-BE32-E72D297353CC}">
              <c16:uniqueId val="{00000005-6433-463D-B172-EB89C504FF46}"/>
            </c:ext>
          </c:extLst>
        </c:ser>
        <c:ser>
          <c:idx val="6"/>
          <c:order val="6"/>
          <c:tx>
            <c:strRef>
              <c:f>'Gill netters'!$H$168</c:f>
              <c:strCache>
                <c:ptCount val="1"/>
                <c:pt idx="0">
                  <c:v>Crawfish</c:v>
                </c:pt>
              </c:strCache>
            </c:strRef>
          </c:tx>
          <c:spPr>
            <a:solidFill>
              <a:srgbClr val="169FDB"/>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netters'!$I$168:$K$168</c:f>
              <c:numCache>
                <c:formatCode>0%</c:formatCode>
                <c:ptCount val="3"/>
                <c:pt idx="0">
                  <c:v>1.7641744220652546E-2</c:v>
                </c:pt>
                <c:pt idx="1">
                  <c:v>0</c:v>
                </c:pt>
                <c:pt idx="2">
                  <c:v>0</c:v>
                </c:pt>
              </c:numCache>
            </c:numRef>
          </c:val>
          <c:extLst>
            <c:ext xmlns:c16="http://schemas.microsoft.com/office/drawing/2014/chart" uri="{C3380CC4-5D6E-409C-BE32-E72D297353CC}">
              <c16:uniqueId val="{00000006-6433-463D-B172-EB89C504FF46}"/>
            </c:ext>
          </c:extLst>
        </c:ser>
        <c:ser>
          <c:idx val="7"/>
          <c:order val="7"/>
          <c:tx>
            <c:strRef>
              <c:f>'Gill netters'!$H$169</c:f>
              <c:strCache>
                <c:ptCount val="1"/>
                <c:pt idx="0">
                  <c:v>Sole</c:v>
                </c:pt>
              </c:strCache>
            </c:strRef>
          </c:tx>
          <c:spPr>
            <a:solidFill>
              <a:srgbClr val="E40D2C"/>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netters'!$I$169:$K$169</c:f>
              <c:numCache>
                <c:formatCode>0%</c:formatCode>
                <c:ptCount val="3"/>
                <c:pt idx="0">
                  <c:v>4.3472429104630551E-3</c:v>
                </c:pt>
                <c:pt idx="1">
                  <c:v>0</c:v>
                </c:pt>
                <c:pt idx="2">
                  <c:v>0</c:v>
                </c:pt>
              </c:numCache>
            </c:numRef>
          </c:val>
          <c:extLst>
            <c:ext xmlns:c16="http://schemas.microsoft.com/office/drawing/2014/chart" uri="{C3380CC4-5D6E-409C-BE32-E72D297353CC}">
              <c16:uniqueId val="{00000007-6433-463D-B172-EB89C504FF46}"/>
            </c:ext>
          </c:extLst>
        </c:ser>
        <c:ser>
          <c:idx val="8"/>
          <c:order val="8"/>
          <c:tx>
            <c:strRef>
              <c:f>'Gill netters'!$H$170</c:f>
              <c:strCache>
                <c:ptCount val="1"/>
                <c:pt idx="0">
                  <c:v>Others</c:v>
                </c:pt>
              </c:strCache>
            </c:strRef>
          </c:tx>
          <c:spPr>
            <a:solidFill>
              <a:srgbClr val="55585A"/>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netters'!$I$170:$K$170</c:f>
              <c:numCache>
                <c:formatCode>0%</c:formatCode>
                <c:ptCount val="3"/>
                <c:pt idx="0">
                  <c:v>0.88902385652860294</c:v>
                </c:pt>
                <c:pt idx="1">
                  <c:v>3.7265641786739856E-2</c:v>
                </c:pt>
                <c:pt idx="2">
                  <c:v>3.3456407063937377E-2</c:v>
                </c:pt>
              </c:numCache>
            </c:numRef>
          </c:val>
          <c:extLst>
            <c:ext xmlns:c16="http://schemas.microsoft.com/office/drawing/2014/chart" uri="{C3380CC4-5D6E-409C-BE32-E72D297353CC}">
              <c16:uniqueId val="{00000008-6433-463D-B172-EB89C504FF46}"/>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'Gill netters'!$K$139</c:f>
              <c:strCache>
                <c:ptCount val="1"/>
                <c:pt idx="0">
                  <c:v>Total income</c:v>
                </c:pt>
              </c:strCache>
            </c:strRef>
          </c:tx>
          <c:spPr>
            <a:solidFill>
              <a:srgbClr val="087CBB"/>
            </a:solidFill>
            <a:ln>
              <a:solidFill>
                <a:schemeClr val="accent1"/>
              </a:solidFill>
            </a:ln>
          </c:spPr>
          <c:invertIfNegative val="0"/>
          <c:cat>
            <c:strRef>
              <c:f>'Gill netters'!$L$138:$N$138</c:f>
              <c:strCache>
                <c:ptCount val="3"/>
                <c:pt idx="0">
                  <c:v>Most
profitable
quartile</c:v>
                </c:pt>
                <c:pt idx="1">
                  <c:v>Middle
two quartiles</c:v>
                </c:pt>
                <c:pt idx="2">
                  <c:v>Least
profitable
quartile</c:v>
                </c:pt>
              </c:strCache>
            </c:strRef>
          </c:cat>
          <c:val>
            <c:numRef>
              <c:f>'Gill netters'!$L$139:$N$139</c:f>
              <c:numCache>
                <c:formatCode>#,##0</c:formatCode>
                <c:ptCount val="3"/>
                <c:pt idx="0">
                  <c:v>1436.40825</c:v>
                </c:pt>
                <c:pt idx="1">
                  <c:v>719.48530528846197</c:v>
                </c:pt>
                <c:pt idx="2">
                  <c:v>222.02489062500001</c:v>
                </c:pt>
              </c:numCache>
            </c:numRef>
          </c:val>
          <c:extLst>
            <c:ext xmlns:c16="http://schemas.microsoft.com/office/drawing/2014/chart" uri="{C3380CC4-5D6E-409C-BE32-E72D297353CC}">
              <c16:uniqueId val="{00000000-9CC3-49AD-987E-41E9C3ED6BB9}"/>
            </c:ext>
          </c:extLst>
        </c:ser>
        <c:ser>
          <c:idx val="1"/>
          <c:order val="1"/>
          <c:tx>
            <c:strRef>
              <c:f>'Gill netters'!$K$140</c:f>
              <c:strCache>
                <c:ptCount val="1"/>
                <c:pt idx="0">
                  <c:v>Operating costs</c:v>
                </c:pt>
              </c:strCache>
            </c:strRef>
          </c:tx>
          <c:spPr>
            <a:solidFill>
              <a:srgbClr val="E87308"/>
            </a:solidFill>
          </c:spPr>
          <c:invertIfNegative val="0"/>
          <c:cat>
            <c:strRef>
              <c:f>'Gill netters'!$L$138:$N$138</c:f>
              <c:strCache>
                <c:ptCount val="3"/>
                <c:pt idx="0">
                  <c:v>Most
profitable
quartile</c:v>
                </c:pt>
                <c:pt idx="1">
                  <c:v>Middle
two quartiles</c:v>
                </c:pt>
                <c:pt idx="2">
                  <c:v>Least
profitable
quartile</c:v>
                </c:pt>
              </c:strCache>
            </c:strRef>
          </c:cat>
          <c:val>
            <c:numRef>
              <c:f>'Gill netters'!$L$140:$N$140</c:f>
              <c:numCache>
                <c:formatCode>#,##0</c:formatCode>
                <c:ptCount val="3"/>
                <c:pt idx="0">
                  <c:v>1215.44875</c:v>
                </c:pt>
                <c:pt idx="1">
                  <c:v>633.120038461538</c:v>
                </c:pt>
                <c:pt idx="2">
                  <c:v>213.21026562500001</c:v>
                </c:pt>
              </c:numCache>
            </c:numRef>
          </c:val>
          <c:extLst>
            <c:ext xmlns:c16="http://schemas.microsoft.com/office/drawing/2014/chart" uri="{C3380CC4-5D6E-409C-BE32-E72D297353CC}">
              <c16:uniqueId val="{00000001-9CC3-49AD-987E-41E9C3ED6BB9}"/>
            </c:ext>
          </c:extLst>
        </c:ser>
        <c:ser>
          <c:idx val="2"/>
          <c:order val="2"/>
          <c:tx>
            <c:strRef>
              <c:f>'Gill netters'!$K$141</c:f>
              <c:strCache>
                <c:ptCount val="1"/>
                <c:pt idx="0">
                  <c:v>Operating profit</c:v>
                </c:pt>
              </c:strCache>
            </c:strRef>
          </c:tx>
          <c:spPr>
            <a:solidFill>
              <a:srgbClr val="51AA81"/>
            </a:solidFill>
          </c:spPr>
          <c:invertIfNegative val="0"/>
          <c:cat>
            <c:strRef>
              <c:f>'Gill netters'!$L$138:$N$138</c:f>
              <c:strCache>
                <c:ptCount val="3"/>
                <c:pt idx="0">
                  <c:v>Most
profitable
quartile</c:v>
                </c:pt>
                <c:pt idx="1">
                  <c:v>Middle
two quartiles</c:v>
                </c:pt>
                <c:pt idx="2">
                  <c:v>Least
profitable
quartile</c:v>
                </c:pt>
              </c:strCache>
            </c:strRef>
          </c:cat>
          <c:val>
            <c:numRef>
              <c:f>'Gill netters'!$L$141:$N$141</c:f>
              <c:numCache>
                <c:formatCode>#,##0</c:formatCode>
                <c:ptCount val="3"/>
                <c:pt idx="0">
                  <c:v>220.95949999999999</c:v>
                </c:pt>
                <c:pt idx="1">
                  <c:v>86.365266826923005</c:v>
                </c:pt>
                <c:pt idx="2">
                  <c:v>8.8146249999999995</c:v>
                </c:pt>
              </c:numCache>
            </c:numRef>
          </c:val>
          <c:extLst>
            <c:ext xmlns:c16="http://schemas.microsoft.com/office/drawing/2014/chart" uri="{C3380CC4-5D6E-409C-BE32-E72D297353CC}">
              <c16:uniqueId val="{00000002-9CC3-49AD-987E-41E9C3ED6BB9}"/>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'Gill netters'!$K$142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Longliners!$A$48</c:f>
          <c:strCache>
            <c:ptCount val="1"/>
            <c:pt idx="0">
              <c:v>Landings per kW day at sea (kg)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5601-4868-B979-D279040E4EBF}"/>
              </c:ext>
            </c:extLst>
          </c:dPt>
          <c:dPt>
            <c:idx val="10"/>
            <c:bubble3D val="0"/>
            <c:spPr>
              <a:ln w="57150">
                <a:solidFill>
                  <a:srgbClr val="2273B9"/>
                </a:solidFill>
                <a:prstDash val="sysDot"/>
              </a:ln>
            </c:spPr>
            <c:extLst>
              <c:ext xmlns:c16="http://schemas.microsoft.com/office/drawing/2014/chart" uri="{C3380CC4-5D6E-409C-BE32-E72D297353CC}">
                <c16:uniqueId val="{00000003-5601-4868-B979-D279040E4EBF}"/>
              </c:ext>
            </c:extLst>
          </c:dPt>
          <c:cat>
            <c:numRef>
              <c:f>Longliners!$D$2:$N$2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Longliners!$D$21:$N$21</c:f>
              <c:numCache>
                <c:formatCode>#,##0.00</c:formatCode>
                <c:ptCount val="11"/>
                <c:pt idx="0">
                  <c:v>4.6655023255390384</c:v>
                </c:pt>
                <c:pt idx="1">
                  <c:v>4.7045056482036358</c:v>
                </c:pt>
                <c:pt idx="2">
                  <c:v>4.3728080618274978</c:v>
                </c:pt>
                <c:pt idx="3">
                  <c:v>5.0876642892580186</c:v>
                </c:pt>
                <c:pt idx="4">
                  <c:v>4.8498313991493598</c:v>
                </c:pt>
                <c:pt idx="5">
                  <c:v>4.8639463318923015</c:v>
                </c:pt>
                <c:pt idx="6">
                  <c:v>4.0758221067651004</c:v>
                </c:pt>
                <c:pt idx="7">
                  <c:v>2.9088454515240354</c:v>
                </c:pt>
                <c:pt idx="8">
                  <c:v>2.7202502329313405</c:v>
                </c:pt>
                <c:pt idx="9">
                  <c:v>2.3381308460564778</c:v>
                </c:pt>
                <c:pt idx="10">
                  <c:v>2.672348184342193</c:v>
                </c:pt>
              </c:numCache>
            </c:numRef>
          </c:val>
          <c:smooth val="0"/>
          <c:extLst>
            <c:ext xmlns:c16="http://schemas.microsoft.com/office/drawing/2014/chart" uri="{C3380CC4-5D6E-409C-BE32-E72D297353CC}">
              <c16:uniqueId val="{00000004-5601-4868-B979-D279040E4EBF}"/>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Longliners!$A$49</c:f>
          <c:strCache>
            <c:ptCount val="1"/>
            <c:pt idx="0">
              <c:v>Fishing income per kW day at sea (£)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2CCD-459B-A4BF-4DF72A46B85A}"/>
              </c:ext>
            </c:extLst>
          </c:dPt>
          <c:dPt>
            <c:idx val="10"/>
            <c:bubble3D val="0"/>
            <c:spPr>
              <a:ln w="57150">
                <a:solidFill>
                  <a:srgbClr val="648C2E"/>
                </a:solidFill>
                <a:prstDash val="sysDot"/>
              </a:ln>
            </c:spPr>
            <c:extLst>
              <c:ext xmlns:c16="http://schemas.microsoft.com/office/drawing/2014/chart" uri="{C3380CC4-5D6E-409C-BE32-E72D297353CC}">
                <c16:uniqueId val="{00000003-2CCD-459B-A4BF-4DF72A46B85A}"/>
              </c:ext>
            </c:extLst>
          </c:dPt>
          <c:cat>
            <c:numRef>
              <c:f>Longliners!$D$2:$N$2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Longliners!$D$22:$N$22</c:f>
              <c:numCache>
                <c:formatCode>#,##0.00</c:formatCode>
                <c:ptCount val="11"/>
                <c:pt idx="0">
                  <c:v>12.507428932598801</c:v>
                </c:pt>
                <c:pt idx="1">
                  <c:v>14.0447039848016</c:v>
                </c:pt>
                <c:pt idx="2">
                  <c:v>14.8071881404656</c:v>
                </c:pt>
                <c:pt idx="3">
                  <c:v>15.5833139460483</c:v>
                </c:pt>
                <c:pt idx="4">
                  <c:v>16.359464657698101</c:v>
                </c:pt>
                <c:pt idx="5">
                  <c:v>14.855173861571499</c:v>
                </c:pt>
                <c:pt idx="6">
                  <c:v>10.0285090320224</c:v>
                </c:pt>
                <c:pt idx="7">
                  <c:v>7.4094290335984301</c:v>
                </c:pt>
                <c:pt idx="8">
                  <c:v>7.0822557217308901</c:v>
                </c:pt>
                <c:pt idx="9">
                  <c:v>4.7039239317573998</c:v>
                </c:pt>
                <c:pt idx="10">
                  <c:v>5.7504588262950289</c:v>
                </c:pt>
              </c:numCache>
            </c:numRef>
          </c:val>
          <c:smooth val="0"/>
          <c:extLst>
            <c:ext xmlns:c16="http://schemas.microsoft.com/office/drawing/2014/chart" uri="{C3380CC4-5D6E-409C-BE32-E72D297353CC}">
              <c16:uniqueId val="{00000004-2CCD-459B-A4BF-4DF72A46B85A}"/>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Longliners!$B$62</c:f>
          <c:strCache>
            <c:ptCount val="1"/>
            <c:pt idx="0">
              <c:v>Total cost per kW day at sea (£)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6A6F-4188-870D-0860879E338B}"/>
              </c:ext>
            </c:extLst>
          </c:dPt>
          <c:dPt>
            <c:idx val="10"/>
            <c:bubble3D val="0"/>
            <c:spPr>
              <a:ln w="57150">
                <a:solidFill>
                  <a:srgbClr val="087CBB"/>
                </a:solidFill>
                <a:prstDash val="sysDot"/>
              </a:ln>
            </c:spPr>
            <c:extLst>
              <c:ext xmlns:c16="http://schemas.microsoft.com/office/drawing/2014/chart" uri="{C3380CC4-5D6E-409C-BE32-E72D297353CC}">
                <c16:uniqueId val="{00000003-6A6F-4188-870D-0860879E338B}"/>
              </c:ext>
            </c:extLst>
          </c:dPt>
          <c:cat>
            <c:numRef>
              <c:f>Longliners!$D$2:$N$2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Longliners!$D$23:$N$23</c:f>
              <c:numCache>
                <c:formatCode>#,##0.00</c:formatCode>
                <c:ptCount val="11"/>
                <c:pt idx="0">
                  <c:v>9.8413774338569393</c:v>
                </c:pt>
                <c:pt idx="1">
                  <c:v>15.3790253237791</c:v>
                </c:pt>
                <c:pt idx="2">
                  <c:v>12.592959310487</c:v>
                </c:pt>
                <c:pt idx="3">
                  <c:v>13.0346146958635</c:v>
                </c:pt>
                <c:pt idx="4">
                  <c:v>11.559454391094301</c:v>
                </c:pt>
                <c:pt idx="5">
                  <c:v>10.4559098075622</c:v>
                </c:pt>
                <c:pt idx="6">
                  <c:v>8.7645571177093409</c:v>
                </c:pt>
                <c:pt idx="7">
                  <c:v>6.4209145498289901</c:v>
                </c:pt>
                <c:pt idx="8">
                  <c:v>5.7271771665889597</c:v>
                </c:pt>
                <c:pt idx="9">
                  <c:v>4.8908488770299403</c:v>
                </c:pt>
                <c:pt idx="10">
                  <c:v>5.4097814899153889</c:v>
                </c:pt>
              </c:numCache>
            </c:numRef>
          </c:val>
          <c:smooth val="0"/>
          <c:extLst>
            <c:ext xmlns:c16="http://schemas.microsoft.com/office/drawing/2014/chart" uri="{C3380CC4-5D6E-409C-BE32-E72D297353CC}">
              <c16:uniqueId val="{00000004-6A6F-4188-870D-0860879E338B}"/>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Longliners!$K$48</c:f>
          <c:strCache>
            <c:ptCount val="1"/>
            <c:pt idx="0">
              <c:v>Operating profit per kW day at sea (£)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3EF5-4012-A07C-C213A426E2A1}"/>
              </c:ext>
            </c:extLst>
          </c:dPt>
          <c:dPt>
            <c:idx val="10"/>
            <c:bubble3D val="0"/>
            <c:spPr>
              <a:ln w="57150">
                <a:solidFill>
                  <a:schemeClr val="accent3"/>
                </a:solidFill>
                <a:prstDash val="sysDot"/>
              </a:ln>
            </c:spPr>
            <c:extLst>
              <c:ext xmlns:c16="http://schemas.microsoft.com/office/drawing/2014/chart" uri="{C3380CC4-5D6E-409C-BE32-E72D297353CC}">
                <c16:uniqueId val="{00000003-3EF5-4012-A07C-C213A426E2A1}"/>
              </c:ext>
            </c:extLst>
          </c:dPt>
          <c:cat>
            <c:numRef>
              <c:f>Longliners!$D$2:$N$2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Longliners!$D$24:$N$24</c:f>
              <c:numCache>
                <c:formatCode>#,##0.00</c:formatCode>
                <c:ptCount val="11"/>
                <c:pt idx="0">
                  <c:v>2.88452098399876</c:v>
                </c:pt>
                <c:pt idx="1">
                  <c:v>-0.463981988543815</c:v>
                </c:pt>
                <c:pt idx="2">
                  <c:v>2.7857193756108698</c:v>
                </c:pt>
                <c:pt idx="3">
                  <c:v>2.6836044401952299</c:v>
                </c:pt>
                <c:pt idx="4">
                  <c:v>4.8347828711054897</c:v>
                </c:pt>
                <c:pt idx="5">
                  <c:v>4.43664910384891</c:v>
                </c:pt>
                <c:pt idx="6">
                  <c:v>1.33962929573838</c:v>
                </c:pt>
                <c:pt idx="7">
                  <c:v>1.01292011761729</c:v>
                </c:pt>
                <c:pt idx="8">
                  <c:v>1.4857464873292801</c:v>
                </c:pt>
                <c:pt idx="9">
                  <c:v>-1.5469277086076601E-2</c:v>
                </c:pt>
                <c:pt idx="10">
                  <c:v>0.44677355847615052</c:v>
                </c:pt>
              </c:numCache>
            </c:numRef>
          </c:val>
          <c:smooth val="0"/>
          <c:extLst>
            <c:ext xmlns:c16="http://schemas.microsoft.com/office/drawing/2014/chart" uri="{C3380CC4-5D6E-409C-BE32-E72D297353CC}">
              <c16:uniqueId val="{00000004-3EF5-4012-A07C-C213A426E2A1}"/>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Longliners!$A$50</c:f>
          <c:strCache>
            <c:ptCount val="1"/>
            <c:pt idx="0">
              <c:v>Average price per tonne landed (£)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CD4A-4C3C-9D8B-1EC304870F7F}"/>
              </c:ext>
            </c:extLst>
          </c:dPt>
          <c:dPt>
            <c:idx val="10"/>
            <c:bubble3D val="0"/>
            <c:spPr>
              <a:ln w="57150">
                <a:solidFill>
                  <a:schemeClr val="accent4"/>
                </a:solidFill>
                <a:prstDash val="sysDot"/>
              </a:ln>
            </c:spPr>
            <c:extLst>
              <c:ext xmlns:c16="http://schemas.microsoft.com/office/drawing/2014/chart" uri="{C3380CC4-5D6E-409C-BE32-E72D297353CC}">
                <c16:uniqueId val="{00000003-CD4A-4C3C-9D8B-1EC304870F7F}"/>
              </c:ext>
            </c:extLst>
          </c:dPt>
          <c:cat>
            <c:numRef>
              <c:f>Longliners!$D$2:$M$2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Longliners!$D$20:$N$20</c:f>
              <c:numCache>
                <c:formatCode>#,##0</c:formatCode>
                <c:ptCount val="11"/>
                <c:pt idx="0">
                  <c:v>2681</c:v>
                </c:pt>
                <c:pt idx="1">
                  <c:v>2985</c:v>
                </c:pt>
                <c:pt idx="2">
                  <c:v>3386</c:v>
                </c:pt>
                <c:pt idx="3">
                  <c:v>3063</c:v>
                </c:pt>
                <c:pt idx="4">
                  <c:v>3373</c:v>
                </c:pt>
                <c:pt idx="5">
                  <c:v>3054</c:v>
                </c:pt>
                <c:pt idx="6">
                  <c:v>2460</c:v>
                </c:pt>
                <c:pt idx="7">
                  <c:v>2547</c:v>
                </c:pt>
                <c:pt idx="8">
                  <c:v>2604</c:v>
                </c:pt>
                <c:pt idx="9">
                  <c:v>2012</c:v>
                </c:pt>
                <c:pt idx="10">
                  <c:v>2152</c:v>
                </c:pt>
              </c:numCache>
            </c:numRef>
          </c:val>
          <c:smooth val="0"/>
          <c:extLst>
            <c:ext xmlns:c16="http://schemas.microsoft.com/office/drawing/2014/chart" uri="{C3380CC4-5D6E-409C-BE32-E72D297353CC}">
              <c16:uniqueId val="{00000004-CD4A-4C3C-9D8B-1EC304870F7F}"/>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Longliners!$K$62</c:f>
          <c:strCache>
            <c:ptCount val="1"/>
            <c:pt idx="0">
              <c:v>Average annual operating profit per vessel (£'000)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BDE6-48FB-AE01-B07F5B6AFB0F}"/>
              </c:ext>
            </c:extLst>
          </c:dPt>
          <c:dPt>
            <c:idx val="10"/>
            <c:bubble3D val="0"/>
            <c:spPr>
              <a:ln w="57150">
                <a:solidFill>
                  <a:schemeClr val="accent5"/>
                </a:solidFill>
                <a:prstDash val="sysDot"/>
              </a:ln>
            </c:spPr>
            <c:extLst>
              <c:ext xmlns:c16="http://schemas.microsoft.com/office/drawing/2014/chart" uri="{C3380CC4-5D6E-409C-BE32-E72D297353CC}">
                <c16:uniqueId val="{00000003-BDE6-48FB-AE01-B07F5B6AFB0F}"/>
              </c:ext>
            </c:extLst>
          </c:dPt>
          <c:cat>
            <c:numRef>
              <c:f>Longliners!$D$2:$M$2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Longliners!$D$37:$N$37</c:f>
              <c:numCache>
                <c:formatCode>#,##0.0</c:formatCode>
                <c:ptCount val="11"/>
                <c:pt idx="0">
                  <c:v>183.1</c:v>
                </c:pt>
                <c:pt idx="1">
                  <c:v>-22.7</c:v>
                </c:pt>
                <c:pt idx="2">
                  <c:v>148.4</c:v>
                </c:pt>
                <c:pt idx="3">
                  <c:v>153</c:v>
                </c:pt>
                <c:pt idx="4">
                  <c:v>340.5</c:v>
                </c:pt>
                <c:pt idx="5">
                  <c:v>322.3</c:v>
                </c:pt>
                <c:pt idx="6">
                  <c:v>96.9</c:v>
                </c:pt>
                <c:pt idx="7">
                  <c:v>72.099999999999994</c:v>
                </c:pt>
                <c:pt idx="8">
                  <c:v>94.8</c:v>
                </c:pt>
                <c:pt idx="9">
                  <c:v>-0.9</c:v>
                </c:pt>
                <c:pt idx="10">
                  <c:v>26.3</c:v>
                </c:pt>
              </c:numCache>
            </c:numRef>
          </c:val>
          <c:smooth val="0"/>
          <c:extLst>
            <c:ext xmlns:c16="http://schemas.microsoft.com/office/drawing/2014/chart" uri="{C3380CC4-5D6E-409C-BE32-E72D297353CC}">
              <c16:uniqueId val="{00000004-BDE6-48FB-AE01-B07F5B6AFB0F}"/>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Longliners!$A$76</c:f>
          <c:strCache>
            <c:ptCount val="1"/>
            <c:pt idx="0">
              <c:v>Top 5 landed species by volume in 2020
Longliners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AABD-4FDF-93D6-99C34EB5F6F1}"/>
              </c:ext>
            </c:extLst>
          </c:dPt>
          <c:dPt>
            <c:idx val="1"/>
            <c:bubble3D val="0"/>
            <c:spPr>
              <a:solidFill>
                <a:srgbClr val="E87308"/>
              </a:solidFill>
              <a:ln>
                <a:solidFill>
                  <a:srgbClr val="FFFFFF"/>
                </a:solidFill>
              </a:ln>
            </c:spPr>
            <c:extLst>
              <c:ext xmlns:c16="http://schemas.microsoft.com/office/drawing/2014/chart" uri="{C3380CC4-5D6E-409C-BE32-E72D297353CC}">
                <c16:uniqueId val="{00000003-AABD-4FDF-93D6-99C34EB5F6F1}"/>
              </c:ext>
            </c:extLst>
          </c:dPt>
          <c:dPt>
            <c:idx val="2"/>
            <c:bubble3D val="0"/>
            <c:spPr>
              <a:solidFill>
                <a:srgbClr val="648C2E"/>
              </a:solidFill>
              <a:ln>
                <a:solidFill>
                  <a:srgbClr val="FFFFFF"/>
                </a:solidFill>
              </a:ln>
            </c:spPr>
            <c:extLst>
              <c:ext xmlns:c16="http://schemas.microsoft.com/office/drawing/2014/chart" uri="{C3380CC4-5D6E-409C-BE32-E72D297353CC}">
                <c16:uniqueId val="{00000005-AABD-4FDF-93D6-99C34EB5F6F1}"/>
              </c:ext>
            </c:extLst>
          </c:dPt>
          <c:dPt>
            <c:idx val="3"/>
            <c:bubble3D val="0"/>
            <c:spPr>
              <a:solidFill>
                <a:srgbClr val="C1D119"/>
              </a:solidFill>
              <a:ln>
                <a:solidFill>
                  <a:srgbClr val="FFFFFF"/>
                </a:solidFill>
              </a:ln>
            </c:spPr>
            <c:extLst>
              <c:ext xmlns:c16="http://schemas.microsoft.com/office/drawing/2014/chart" uri="{C3380CC4-5D6E-409C-BE32-E72D297353CC}">
                <c16:uniqueId val="{00000007-AABD-4FDF-93D6-99C34EB5F6F1}"/>
              </c:ext>
            </c:extLst>
          </c:dPt>
          <c:dPt>
            <c:idx val="4"/>
            <c:bubble3D val="0"/>
            <c:spPr>
              <a:solidFill>
                <a:srgbClr val="0F9AA9"/>
              </a:solidFill>
              <a:ln>
                <a:solidFill>
                  <a:srgbClr val="FFFFFF"/>
                </a:solidFill>
              </a:ln>
            </c:spPr>
            <c:extLst>
              <c:ext xmlns:c16="http://schemas.microsoft.com/office/drawing/2014/chart" uri="{C3380CC4-5D6E-409C-BE32-E72D297353CC}">
                <c16:uniqueId val="{00000009-AABD-4FDF-93D6-99C34EB5F6F1}"/>
              </c:ext>
            </c:extLst>
          </c:dPt>
          <c:dPt>
            <c:idx val="5"/>
            <c:bubble3D val="0"/>
            <c:spPr>
              <a:solidFill>
                <a:srgbClr val="55585A"/>
              </a:solidFill>
              <a:ln>
                <a:solidFill>
                  <a:srgbClr val="FFFFFF"/>
                </a:solidFill>
              </a:ln>
            </c:spPr>
            <c:extLst>
              <c:ext xmlns:c16="http://schemas.microsoft.com/office/drawing/2014/chart" uri="{C3380CC4-5D6E-409C-BE32-E72D297353CC}">
                <c16:uniqueId val="{0000000B-AABD-4FDF-93D6-99C34EB5F6F1}"/>
              </c:ext>
            </c:extLst>
          </c:dPt>
          <c:cat>
            <c:strRef>
              <c:f>Longliners!$B$77:$B$82</c:f>
              <c:strCache>
                <c:ptCount val="6"/>
                <c:pt idx="0">
                  <c:v>Hake - 60.6%</c:v>
                </c:pt>
                <c:pt idx="1">
                  <c:v>Ling - 29.6%</c:v>
                </c:pt>
                <c:pt idx="2">
                  <c:v>Razor Clam - 3.7%</c:v>
                </c:pt>
                <c:pt idx="3">
                  <c:v>Scallops - 2.9%</c:v>
                </c:pt>
                <c:pt idx="4">
                  <c:v>Blue Mouth Redfish - 1.1%</c:v>
                </c:pt>
                <c:pt idx="5">
                  <c:v>Others - 2.2%</c:v>
                </c:pt>
              </c:strCache>
            </c:strRef>
          </c:cat>
          <c:val>
            <c:numRef>
              <c:f>Longliners!$C$77:$C$82</c:f>
              <c:numCache>
                <c:formatCode>0.0%</c:formatCode>
                <c:ptCount val="6"/>
                <c:pt idx="0">
                  <c:v>0.60583609221915991</c:v>
                </c:pt>
                <c:pt idx="1">
                  <c:v>0.29594796734447015</c:v>
                </c:pt>
                <c:pt idx="2">
                  <c:v>3.7115090483081342E-2</c:v>
                </c:pt>
                <c:pt idx="3">
                  <c:v>2.9062762110517355E-2</c:v>
                </c:pt>
                <c:pt idx="4">
                  <c:v>1.0531730510556331E-2</c:v>
                </c:pt>
                <c:pt idx="5">
                  <c:v>2.1506357332214843E-2</c:v>
                </c:pt>
              </c:numCache>
            </c:numRef>
          </c:val>
          <c:extLst>
            <c:ext xmlns:c16="http://schemas.microsoft.com/office/drawing/2014/chart" uri="{C3380CC4-5D6E-409C-BE32-E72D297353CC}">
              <c16:uniqueId val="{0000000C-AABD-4FDF-93D6-99C34EB5F6F1}"/>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demersal trawl'!$F$76</c:f>
          <c:strCache>
            <c:ptCount val="1"/>
            <c:pt idx="0">
              <c:v>Top 5 landed species by value in 2020
Area VIIA demersal trawl</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03B1-4512-9541-9E7586C8725E}"/>
              </c:ext>
            </c:extLst>
          </c:dPt>
          <c:dPt>
            <c:idx val="1"/>
            <c:bubble3D val="0"/>
            <c:spPr>
              <a:solidFill>
                <a:srgbClr val="E87308"/>
              </a:solidFill>
              <a:ln>
                <a:solidFill>
                  <a:srgbClr val="FFFFFF"/>
                </a:solidFill>
              </a:ln>
            </c:spPr>
            <c:extLst>
              <c:ext xmlns:c16="http://schemas.microsoft.com/office/drawing/2014/chart" uri="{C3380CC4-5D6E-409C-BE32-E72D297353CC}">
                <c16:uniqueId val="{00000003-03B1-4512-9541-9E7586C8725E}"/>
              </c:ext>
            </c:extLst>
          </c:dPt>
          <c:dPt>
            <c:idx val="2"/>
            <c:bubble3D val="0"/>
            <c:spPr>
              <a:solidFill>
                <a:srgbClr val="648C2E"/>
              </a:solidFill>
              <a:ln>
                <a:solidFill>
                  <a:srgbClr val="FFFFFF"/>
                </a:solidFill>
              </a:ln>
            </c:spPr>
            <c:extLst>
              <c:ext xmlns:c16="http://schemas.microsoft.com/office/drawing/2014/chart" uri="{C3380CC4-5D6E-409C-BE32-E72D297353CC}">
                <c16:uniqueId val="{00000005-03B1-4512-9541-9E7586C8725E}"/>
              </c:ext>
            </c:extLst>
          </c:dPt>
          <c:dPt>
            <c:idx val="3"/>
            <c:bubble3D val="0"/>
            <c:spPr>
              <a:solidFill>
                <a:srgbClr val="C1D119"/>
              </a:solidFill>
              <a:ln>
                <a:solidFill>
                  <a:srgbClr val="FFFFFF"/>
                </a:solidFill>
              </a:ln>
            </c:spPr>
            <c:extLst>
              <c:ext xmlns:c16="http://schemas.microsoft.com/office/drawing/2014/chart" uri="{C3380CC4-5D6E-409C-BE32-E72D297353CC}">
                <c16:uniqueId val="{00000007-03B1-4512-9541-9E7586C8725E}"/>
              </c:ext>
            </c:extLst>
          </c:dPt>
          <c:dPt>
            <c:idx val="4"/>
            <c:bubble3D val="0"/>
            <c:spPr>
              <a:solidFill>
                <a:srgbClr val="E84A38"/>
              </a:solidFill>
              <a:ln>
                <a:solidFill>
                  <a:srgbClr val="FFFFFF"/>
                </a:solidFill>
              </a:ln>
            </c:spPr>
            <c:extLst>
              <c:ext xmlns:c16="http://schemas.microsoft.com/office/drawing/2014/chart" uri="{C3380CC4-5D6E-409C-BE32-E72D297353CC}">
                <c16:uniqueId val="{00000009-03B1-4512-9541-9E7586C8725E}"/>
              </c:ext>
            </c:extLst>
          </c:dPt>
          <c:dPt>
            <c:idx val="5"/>
            <c:bubble3D val="0"/>
            <c:spPr>
              <a:solidFill>
                <a:srgbClr val="55585A"/>
              </a:solidFill>
              <a:ln>
                <a:solidFill>
                  <a:srgbClr val="FFFFFF"/>
                </a:solidFill>
              </a:ln>
            </c:spPr>
            <c:extLst>
              <c:ext xmlns:c16="http://schemas.microsoft.com/office/drawing/2014/chart" uri="{C3380CC4-5D6E-409C-BE32-E72D297353CC}">
                <c16:uniqueId val="{0000000B-03B1-4512-9541-9E7586C8725E}"/>
              </c:ext>
            </c:extLst>
          </c:dPt>
          <c:cat>
            <c:strRef>
              <c:f>'Area VIIa demersal trawl'!$G$77:$G$82</c:f>
              <c:strCache>
                <c:ptCount val="6"/>
                <c:pt idx="0">
                  <c:v>Haddock - 52.3%</c:v>
                </c:pt>
                <c:pt idx="1">
                  <c:v>Cod - 16.4%</c:v>
                </c:pt>
                <c:pt idx="2">
                  <c:v>Hake - 12.5%</c:v>
                </c:pt>
                <c:pt idx="3">
                  <c:v>Scallops - 5.0%</c:v>
                </c:pt>
                <c:pt idx="4">
                  <c:v>Pollack - 3.5%</c:v>
                </c:pt>
                <c:pt idx="5">
                  <c:v>Others - 10.1%</c:v>
                </c:pt>
              </c:strCache>
            </c:strRef>
          </c:cat>
          <c:val>
            <c:numRef>
              <c:f>'Area VIIa demersal trawl'!$H$77:$H$82</c:f>
              <c:numCache>
                <c:formatCode>0.0%</c:formatCode>
                <c:ptCount val="6"/>
                <c:pt idx="0">
                  <c:v>0.52329003868456203</c:v>
                </c:pt>
                <c:pt idx="1">
                  <c:v>0.16447450982095024</c:v>
                </c:pt>
                <c:pt idx="2">
                  <c:v>0.12541912798798482</c:v>
                </c:pt>
                <c:pt idx="3">
                  <c:v>5.0402267609020501E-2</c:v>
                </c:pt>
                <c:pt idx="4">
                  <c:v>3.533585332108078E-2</c:v>
                </c:pt>
                <c:pt idx="5">
                  <c:v>0.10107820257640165</c:v>
                </c:pt>
              </c:numCache>
            </c:numRef>
          </c:val>
          <c:extLst>
            <c:ext xmlns:c16="http://schemas.microsoft.com/office/drawing/2014/chart" uri="{C3380CC4-5D6E-409C-BE32-E72D297353CC}">
              <c16:uniqueId val="{0000000C-03B1-4512-9541-9E7586C8725E}"/>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Longliners!$F$76</c:f>
          <c:strCache>
            <c:ptCount val="1"/>
            <c:pt idx="0">
              <c:v>Top 5 landed species by value in 2020
Longliners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41AC-4EE7-9F77-7F0C378061F0}"/>
              </c:ext>
            </c:extLst>
          </c:dPt>
          <c:dPt>
            <c:idx val="1"/>
            <c:bubble3D val="0"/>
            <c:spPr>
              <a:solidFill>
                <a:srgbClr val="E87308"/>
              </a:solidFill>
              <a:ln>
                <a:solidFill>
                  <a:srgbClr val="FFFFFF"/>
                </a:solidFill>
              </a:ln>
            </c:spPr>
            <c:extLst>
              <c:ext xmlns:c16="http://schemas.microsoft.com/office/drawing/2014/chart" uri="{C3380CC4-5D6E-409C-BE32-E72D297353CC}">
                <c16:uniqueId val="{00000003-41AC-4EE7-9F77-7F0C378061F0}"/>
              </c:ext>
            </c:extLst>
          </c:dPt>
          <c:dPt>
            <c:idx val="2"/>
            <c:bubble3D val="0"/>
            <c:spPr>
              <a:solidFill>
                <a:srgbClr val="648C2E"/>
              </a:solidFill>
              <a:ln>
                <a:solidFill>
                  <a:srgbClr val="FFFFFF"/>
                </a:solidFill>
              </a:ln>
            </c:spPr>
            <c:extLst>
              <c:ext xmlns:c16="http://schemas.microsoft.com/office/drawing/2014/chart" uri="{C3380CC4-5D6E-409C-BE32-E72D297353CC}">
                <c16:uniqueId val="{00000005-41AC-4EE7-9F77-7F0C378061F0}"/>
              </c:ext>
            </c:extLst>
          </c:dPt>
          <c:dPt>
            <c:idx val="3"/>
            <c:bubble3D val="0"/>
            <c:spPr>
              <a:solidFill>
                <a:srgbClr val="C1D119"/>
              </a:solidFill>
              <a:ln>
                <a:solidFill>
                  <a:srgbClr val="FFFFFF"/>
                </a:solidFill>
              </a:ln>
            </c:spPr>
            <c:extLst>
              <c:ext xmlns:c16="http://schemas.microsoft.com/office/drawing/2014/chart" uri="{C3380CC4-5D6E-409C-BE32-E72D297353CC}">
                <c16:uniqueId val="{00000007-41AC-4EE7-9F77-7F0C378061F0}"/>
              </c:ext>
            </c:extLst>
          </c:dPt>
          <c:dPt>
            <c:idx val="4"/>
            <c:bubble3D val="0"/>
            <c:spPr>
              <a:solidFill>
                <a:srgbClr val="E84A38"/>
              </a:solidFill>
              <a:ln>
                <a:solidFill>
                  <a:srgbClr val="FFFFFF"/>
                </a:solidFill>
              </a:ln>
            </c:spPr>
            <c:extLst>
              <c:ext xmlns:c16="http://schemas.microsoft.com/office/drawing/2014/chart" uri="{C3380CC4-5D6E-409C-BE32-E72D297353CC}">
                <c16:uniqueId val="{00000009-41AC-4EE7-9F77-7F0C378061F0}"/>
              </c:ext>
            </c:extLst>
          </c:dPt>
          <c:dPt>
            <c:idx val="5"/>
            <c:bubble3D val="0"/>
            <c:spPr>
              <a:solidFill>
                <a:srgbClr val="55585A"/>
              </a:solidFill>
              <a:ln>
                <a:solidFill>
                  <a:srgbClr val="FFFFFF"/>
                </a:solidFill>
              </a:ln>
            </c:spPr>
            <c:extLst>
              <c:ext xmlns:c16="http://schemas.microsoft.com/office/drawing/2014/chart" uri="{C3380CC4-5D6E-409C-BE32-E72D297353CC}">
                <c16:uniqueId val="{0000000B-41AC-4EE7-9F77-7F0C378061F0}"/>
              </c:ext>
            </c:extLst>
          </c:dPt>
          <c:cat>
            <c:strRef>
              <c:f>Longliners!$G$77:$G$82</c:f>
              <c:strCache>
                <c:ptCount val="6"/>
                <c:pt idx="0">
                  <c:v>Hake - 56.6%</c:v>
                </c:pt>
                <c:pt idx="1">
                  <c:v>Ling - 21.2%</c:v>
                </c:pt>
                <c:pt idx="2">
                  <c:v>Razor Clam - 14.1%</c:v>
                </c:pt>
                <c:pt idx="3">
                  <c:v>Scallops - 5.5%</c:v>
                </c:pt>
                <c:pt idx="4">
                  <c:v>Pollack - 1.2%</c:v>
                </c:pt>
                <c:pt idx="5">
                  <c:v>Others - 1.3%</c:v>
                </c:pt>
              </c:strCache>
            </c:strRef>
          </c:cat>
          <c:val>
            <c:numRef>
              <c:f>Longliners!$H$77:$H$82</c:f>
              <c:numCache>
                <c:formatCode>0.0%</c:formatCode>
                <c:ptCount val="6"/>
                <c:pt idx="0">
                  <c:v>0.56627186148715158</c:v>
                </c:pt>
                <c:pt idx="1">
                  <c:v>0.21169234031685868</c:v>
                </c:pt>
                <c:pt idx="2">
                  <c:v>0.14140963640404897</c:v>
                </c:pt>
                <c:pt idx="3">
                  <c:v>5.4967625041684127E-2</c:v>
                </c:pt>
                <c:pt idx="4">
                  <c:v>1.2219594922738983E-2</c:v>
                </c:pt>
                <c:pt idx="5">
                  <c:v>1.3438941827517703E-2</c:v>
                </c:pt>
              </c:numCache>
            </c:numRef>
          </c:val>
          <c:extLst>
            <c:ext xmlns:c16="http://schemas.microsoft.com/office/drawing/2014/chart" uri="{C3380CC4-5D6E-409C-BE32-E72D297353CC}">
              <c16:uniqueId val="{0000000C-41AC-4EE7-9F77-7F0C378061F0}"/>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Longliners!$K$77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Longliners!$C$92</c:f>
              <c:strCache>
                <c:ptCount val="1"/>
                <c:pt idx="0">
                  <c:v>Hake</c:v>
                </c:pt>
              </c:strCache>
            </c:strRef>
          </c:tx>
          <c:spPr>
            <a:solidFill>
              <a:srgbClr val="2273B9"/>
            </a:solidFill>
            <a:ln>
              <a:solidFill>
                <a:srgbClr val="FFFFFF"/>
              </a:solidFill>
            </a:ln>
          </c:spPr>
          <c:invertIfNegative val="0"/>
          <c:cat>
            <c:numRef>
              <c:f>Longliners!$D$91:$M$91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Longliners!$D$92:$M$92</c:f>
              <c:numCache>
                <c:formatCode>0%</c:formatCode>
                <c:ptCount val="10"/>
                <c:pt idx="0">
                  <c:v>0.71833552528345601</c:v>
                </c:pt>
                <c:pt idx="1">
                  <c:v>0.77251713704878411</c:v>
                </c:pt>
                <c:pt idx="2">
                  <c:v>0.82886590506460256</c:v>
                </c:pt>
                <c:pt idx="3">
                  <c:v>0.85433518841478073</c:v>
                </c:pt>
                <c:pt idx="4">
                  <c:v>0.85288649757478618</c:v>
                </c:pt>
                <c:pt idx="5">
                  <c:v>0.79342718085751596</c:v>
                </c:pt>
                <c:pt idx="6">
                  <c:v>0.62623878460077564</c:v>
                </c:pt>
                <c:pt idx="7">
                  <c:v>0.55037423250850659</c:v>
                </c:pt>
                <c:pt idx="8">
                  <c:v>0.56627186148715158</c:v>
                </c:pt>
                <c:pt idx="9">
                  <c:v>0.42770952374180521</c:v>
                </c:pt>
              </c:numCache>
            </c:numRef>
          </c:val>
          <c:extLst>
            <c:ext xmlns:c16="http://schemas.microsoft.com/office/drawing/2014/chart" uri="{C3380CC4-5D6E-409C-BE32-E72D297353CC}">
              <c16:uniqueId val="{00000000-3548-440F-A517-2683AF8F3AD3}"/>
            </c:ext>
          </c:extLst>
        </c:ser>
        <c:ser>
          <c:idx val="1"/>
          <c:order val="1"/>
          <c:tx>
            <c:strRef>
              <c:f>Longliners!$C$93</c:f>
              <c:strCache>
                <c:ptCount val="1"/>
                <c:pt idx="0">
                  <c:v>Ling</c:v>
                </c:pt>
              </c:strCache>
            </c:strRef>
          </c:tx>
          <c:spPr>
            <a:solidFill>
              <a:srgbClr val="E87308"/>
            </a:solidFill>
            <a:ln>
              <a:solidFill>
                <a:srgbClr val="FFFFFF"/>
              </a:solidFill>
            </a:ln>
          </c:spPr>
          <c:invertIfNegative val="0"/>
          <c:cat>
            <c:numRef>
              <c:f>Longliners!$D$91:$M$91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Longliners!$D$93:$M$93</c:f>
              <c:numCache>
                <c:formatCode>0%</c:formatCode>
                <c:ptCount val="10"/>
                <c:pt idx="0">
                  <c:v>0.1449734939832229</c:v>
                </c:pt>
                <c:pt idx="1">
                  <c:v>9.8627719267732006E-2</c:v>
                </c:pt>
                <c:pt idx="2">
                  <c:v>8.4828384703029266E-2</c:v>
                </c:pt>
                <c:pt idx="3">
                  <c:v>8.6959471584404952E-2</c:v>
                </c:pt>
                <c:pt idx="4">
                  <c:v>8.5779842221989241E-2</c:v>
                </c:pt>
                <c:pt idx="5">
                  <c:v>0.10895526301548693</c:v>
                </c:pt>
                <c:pt idx="6">
                  <c:v>0.13563223483278045</c:v>
                </c:pt>
                <c:pt idx="7">
                  <c:v>0.18023410916818863</c:v>
                </c:pt>
                <c:pt idx="8">
                  <c:v>0.21169234031685868</c:v>
                </c:pt>
                <c:pt idx="9">
                  <c:v>0.18044892561043246</c:v>
                </c:pt>
              </c:numCache>
            </c:numRef>
          </c:val>
          <c:extLst>
            <c:ext xmlns:c16="http://schemas.microsoft.com/office/drawing/2014/chart" uri="{C3380CC4-5D6E-409C-BE32-E72D297353CC}">
              <c16:uniqueId val="{00000001-3548-440F-A517-2683AF8F3AD3}"/>
            </c:ext>
          </c:extLst>
        </c:ser>
        <c:ser>
          <c:idx val="2"/>
          <c:order val="2"/>
          <c:tx>
            <c:strRef>
              <c:f>Longliners!$C$94</c:f>
              <c:strCache>
                <c:ptCount val="1"/>
                <c:pt idx="0">
                  <c:v>Razor Clam</c:v>
                </c:pt>
              </c:strCache>
            </c:strRef>
          </c:tx>
          <c:spPr>
            <a:solidFill>
              <a:srgbClr val="648C2E"/>
            </a:solidFill>
            <a:ln>
              <a:solidFill>
                <a:srgbClr val="FFFFFF"/>
              </a:solidFill>
            </a:ln>
          </c:spPr>
          <c:invertIfNegative val="0"/>
          <c:cat>
            <c:numRef>
              <c:f>Longliners!$D$91:$M$91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Longliners!$D$94:$M$94</c:f>
              <c:numCache>
                <c:formatCode>0%</c:formatCode>
                <c:ptCount val="10"/>
                <c:pt idx="0">
                  <c:v>7.2430259777672673E-2</c:v>
                </c:pt>
                <c:pt idx="1">
                  <c:v>4.8218504913571207E-2</c:v>
                </c:pt>
                <c:pt idx="2">
                  <c:v>2.773072738886798E-2</c:v>
                </c:pt>
                <c:pt idx="3">
                  <c:v>1.0827484286813585E-2</c:v>
                </c:pt>
                <c:pt idx="4">
                  <c:v>6.1800891198100748E-3</c:v>
                </c:pt>
                <c:pt idx="5">
                  <c:v>4.1713843991407706E-2</c:v>
                </c:pt>
                <c:pt idx="6">
                  <c:v>0.15464122720560539</c:v>
                </c:pt>
                <c:pt idx="7">
                  <c:v>0.19685639576996816</c:v>
                </c:pt>
                <c:pt idx="8">
                  <c:v>0.14140963640404897</c:v>
                </c:pt>
                <c:pt idx="9">
                  <c:v>0.29285820333053658</c:v>
                </c:pt>
              </c:numCache>
            </c:numRef>
          </c:val>
          <c:extLst>
            <c:ext xmlns:c16="http://schemas.microsoft.com/office/drawing/2014/chart" uri="{C3380CC4-5D6E-409C-BE32-E72D297353CC}">
              <c16:uniqueId val="{00000002-3548-440F-A517-2683AF8F3AD3}"/>
            </c:ext>
          </c:extLst>
        </c:ser>
        <c:ser>
          <c:idx val="3"/>
          <c:order val="3"/>
          <c:tx>
            <c:strRef>
              <c:f>Longliners!$C$95</c:f>
              <c:strCache>
                <c:ptCount val="1"/>
                <c:pt idx="0">
                  <c:v>Scallops</c:v>
                </c:pt>
              </c:strCache>
            </c:strRef>
          </c:tx>
          <c:spPr>
            <a:solidFill>
              <a:srgbClr val="C1D119"/>
            </a:solidFill>
            <a:ln>
              <a:solidFill>
                <a:srgbClr val="FFFFFF"/>
              </a:solidFill>
            </a:ln>
          </c:spPr>
          <c:invertIfNegative val="0"/>
          <c:cat>
            <c:numRef>
              <c:f>Longliners!$D$91:$M$91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Longliners!$D$95:$M$95</c:f>
              <c:numCache>
                <c:formatCode>0%</c:formatCode>
                <c:ptCount val="10"/>
                <c:pt idx="0">
                  <c:v>2.3877009852350396E-2</c:v>
                </c:pt>
                <c:pt idx="1">
                  <c:v>2.5070644811656256E-2</c:v>
                </c:pt>
                <c:pt idx="2">
                  <c:v>2.3096498326687028E-2</c:v>
                </c:pt>
                <c:pt idx="3">
                  <c:v>2.8381553718189002E-2</c:v>
                </c:pt>
                <c:pt idx="4">
                  <c:v>3.6748776407222246E-2</c:v>
                </c:pt>
                <c:pt idx="5">
                  <c:v>3.7127212273361167E-2</c:v>
                </c:pt>
                <c:pt idx="6">
                  <c:v>4.5565192425725265E-2</c:v>
                </c:pt>
                <c:pt idx="7">
                  <c:v>4.6610860935642213E-2</c:v>
                </c:pt>
                <c:pt idx="8">
                  <c:v>5.4967625041684127E-2</c:v>
                </c:pt>
                <c:pt idx="9">
                  <c:v>5.6758159245723062E-2</c:v>
                </c:pt>
              </c:numCache>
            </c:numRef>
          </c:val>
          <c:extLst>
            <c:ext xmlns:c16="http://schemas.microsoft.com/office/drawing/2014/chart" uri="{C3380CC4-5D6E-409C-BE32-E72D297353CC}">
              <c16:uniqueId val="{00000003-3548-440F-A517-2683AF8F3AD3}"/>
            </c:ext>
          </c:extLst>
        </c:ser>
        <c:ser>
          <c:idx val="4"/>
          <c:order val="4"/>
          <c:tx>
            <c:strRef>
              <c:f>Longliners!$C$96</c:f>
              <c:strCache>
                <c:ptCount val="1"/>
                <c:pt idx="0">
                  <c:v>Pollack</c:v>
                </c:pt>
              </c:strCache>
            </c:strRef>
          </c:tx>
          <c:spPr>
            <a:solidFill>
              <a:srgbClr val="E84A38"/>
            </a:solidFill>
            <a:ln>
              <a:solidFill>
                <a:srgbClr val="FFFFFF"/>
              </a:solidFill>
            </a:ln>
          </c:spPr>
          <c:invertIfNegative val="0"/>
          <c:cat>
            <c:numRef>
              <c:f>Longliners!$D$91:$M$91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Longliners!$D$96:$M$96</c:f>
              <c:numCache>
                <c:formatCode>0%</c:formatCode>
                <c:ptCount val="10"/>
                <c:pt idx="7">
                  <c:v>6.4379576905784861E-3</c:v>
                </c:pt>
                <c:pt idx="8">
                  <c:v>1.2219594922738983E-2</c:v>
                </c:pt>
              </c:numCache>
            </c:numRef>
          </c:val>
          <c:extLst>
            <c:ext xmlns:c16="http://schemas.microsoft.com/office/drawing/2014/chart" uri="{C3380CC4-5D6E-409C-BE32-E72D297353CC}">
              <c16:uniqueId val="{00000004-3548-440F-A517-2683AF8F3AD3}"/>
            </c:ext>
          </c:extLst>
        </c:ser>
        <c:ser>
          <c:idx val="5"/>
          <c:order val="5"/>
          <c:tx>
            <c:strRef>
              <c:f>Longliners!$C$97</c:f>
              <c:strCache>
                <c:ptCount val="1"/>
                <c:pt idx="0">
                  <c:v>Blue Ling</c:v>
                </c:pt>
              </c:strCache>
            </c:strRef>
          </c:tx>
          <c:spPr>
            <a:solidFill>
              <a:srgbClr val="0F9AA9"/>
            </a:solidFill>
            <a:ln>
              <a:solidFill>
                <a:srgbClr val="FFFFFF"/>
              </a:solidFill>
            </a:ln>
          </c:spPr>
          <c:invertIfNegative val="0"/>
          <c:cat>
            <c:numRef>
              <c:f>Longliners!$D$91:$M$91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Longliners!$D$97:$M$97</c:f>
              <c:numCache>
                <c:formatCode>0%</c:formatCode>
                <c:ptCount val="10"/>
                <c:pt idx="9">
                  <c:v>1.6552215617400702E-2</c:v>
                </c:pt>
              </c:numCache>
            </c:numRef>
          </c:val>
          <c:extLst>
            <c:ext xmlns:c16="http://schemas.microsoft.com/office/drawing/2014/chart" uri="{C3380CC4-5D6E-409C-BE32-E72D297353CC}">
              <c16:uniqueId val="{00000005-3548-440F-A517-2683AF8F3AD3}"/>
            </c:ext>
          </c:extLst>
        </c:ser>
        <c:ser>
          <c:idx val="6"/>
          <c:order val="6"/>
          <c:tx>
            <c:strRef>
              <c:f>Longliners!$C$98</c:f>
              <c:strCache>
                <c:ptCount val="1"/>
                <c:pt idx="0">
                  <c:v>Anglerfish</c:v>
                </c:pt>
              </c:strCache>
            </c:strRef>
          </c:tx>
          <c:spPr>
            <a:solidFill>
              <a:srgbClr val="FED825"/>
            </a:solidFill>
            <a:ln>
              <a:solidFill>
                <a:srgbClr val="FFFFFF"/>
              </a:solidFill>
            </a:ln>
          </c:spPr>
          <c:invertIfNegative val="0"/>
          <c:cat>
            <c:numRef>
              <c:f>Longliners!$D$91:$M$91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Longliners!$D$98:$M$98</c:f>
              <c:numCache>
                <c:formatCode>0%</c:formatCode>
                <c:ptCount val="10"/>
                <c:pt idx="2">
                  <c:v>9.9895653939406012E-3</c:v>
                </c:pt>
                <c:pt idx="6">
                  <c:v>1.5393710909801709E-2</c:v>
                </c:pt>
              </c:numCache>
            </c:numRef>
          </c:val>
          <c:extLst>
            <c:ext xmlns:c16="http://schemas.microsoft.com/office/drawing/2014/chart" uri="{C3380CC4-5D6E-409C-BE32-E72D297353CC}">
              <c16:uniqueId val="{00000006-3548-440F-A517-2683AF8F3AD3}"/>
            </c:ext>
          </c:extLst>
        </c:ser>
        <c:ser>
          <c:idx val="7"/>
          <c:order val="7"/>
          <c:tx>
            <c:strRef>
              <c:f>Longliners!$C$99</c:f>
              <c:strCache>
                <c:ptCount val="1"/>
                <c:pt idx="0">
                  <c:v>Bass</c:v>
                </c:pt>
              </c:strCache>
            </c:strRef>
          </c:tx>
          <c:spPr>
            <a:solidFill>
              <a:srgbClr val="707271"/>
            </a:solidFill>
            <a:ln>
              <a:solidFill>
                <a:srgbClr val="FFFFFF"/>
              </a:solidFill>
            </a:ln>
          </c:spPr>
          <c:invertIfNegative val="0"/>
          <c:cat>
            <c:numRef>
              <c:f>Longliners!$D$91:$M$91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Longliners!$D$99:$M$99</c:f>
              <c:numCache>
                <c:formatCode>0%</c:formatCode>
                <c:ptCount val="10"/>
                <c:pt idx="5">
                  <c:v>6.4617531661846908E-3</c:v>
                </c:pt>
              </c:numCache>
            </c:numRef>
          </c:val>
          <c:extLst>
            <c:ext xmlns:c16="http://schemas.microsoft.com/office/drawing/2014/chart" uri="{C3380CC4-5D6E-409C-BE32-E72D297353CC}">
              <c16:uniqueId val="{00000007-3548-440F-A517-2683AF8F3AD3}"/>
            </c:ext>
          </c:extLst>
        </c:ser>
        <c:ser>
          <c:idx val="8"/>
          <c:order val="8"/>
          <c:tx>
            <c:strRef>
              <c:f>Longliners!$C$100</c:f>
              <c:strCache>
                <c:ptCount val="1"/>
                <c:pt idx="0">
                  <c:v>Blue Mouth Redfish</c:v>
                </c:pt>
              </c:strCache>
            </c:strRef>
          </c:tx>
          <c:spPr>
            <a:solidFill>
              <a:srgbClr val="51AA81"/>
            </a:solidFill>
            <a:ln>
              <a:solidFill>
                <a:srgbClr val="FFFFFF"/>
              </a:solidFill>
            </a:ln>
          </c:spPr>
          <c:invertIfNegative val="0"/>
          <c:cat>
            <c:numRef>
              <c:f>Longliners!$D$91:$M$91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Longliners!$D$100:$M$100</c:f>
              <c:numCache>
                <c:formatCode>0%</c:formatCode>
                <c:ptCount val="10"/>
                <c:pt idx="3">
                  <c:v>4.866216476330832E-3</c:v>
                </c:pt>
                <c:pt idx="4">
                  <c:v>5.9369859819705705E-3</c:v>
                </c:pt>
              </c:numCache>
            </c:numRef>
          </c:val>
          <c:extLst>
            <c:ext xmlns:c16="http://schemas.microsoft.com/office/drawing/2014/chart" uri="{C3380CC4-5D6E-409C-BE32-E72D297353CC}">
              <c16:uniqueId val="{00000008-3548-440F-A517-2683AF8F3AD3}"/>
            </c:ext>
          </c:extLst>
        </c:ser>
        <c:ser>
          <c:idx val="9"/>
          <c:order val="9"/>
          <c:tx>
            <c:strRef>
              <c:f>Longliners!$C$101</c:f>
              <c:strCache>
                <c:ptCount val="1"/>
                <c:pt idx="0">
                  <c:v>Albacore</c:v>
                </c:pt>
              </c:strCache>
            </c:strRef>
          </c:tx>
          <c:spPr>
            <a:solidFill>
              <a:srgbClr val="169FDB"/>
            </a:solidFill>
            <a:ln>
              <a:solidFill>
                <a:srgbClr val="FFFFFF"/>
              </a:solidFill>
            </a:ln>
          </c:spPr>
          <c:invertIfNegative val="0"/>
          <c:cat>
            <c:numRef>
              <c:f>Longliners!$D$91:$M$91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Longliners!$D$101:$M$101</c:f>
              <c:numCache>
                <c:formatCode>0%</c:formatCode>
                <c:ptCount val="10"/>
                <c:pt idx="1">
                  <c:v>1.9595248431234748E-2</c:v>
                </c:pt>
              </c:numCache>
            </c:numRef>
          </c:val>
          <c:extLst>
            <c:ext xmlns:c16="http://schemas.microsoft.com/office/drawing/2014/chart" uri="{C3380CC4-5D6E-409C-BE32-E72D297353CC}">
              <c16:uniqueId val="{00000009-3548-440F-A517-2683AF8F3AD3}"/>
            </c:ext>
          </c:extLst>
        </c:ser>
        <c:ser>
          <c:idx val="10"/>
          <c:order val="10"/>
          <c:tx>
            <c:strRef>
              <c:f>Longliners!$C$102</c:f>
              <c:strCache>
                <c:ptCount val="1"/>
                <c:pt idx="0">
                  <c:v>Greater Forked Beard</c:v>
                </c:pt>
              </c:strCache>
            </c:strRef>
          </c:tx>
          <c:spPr>
            <a:solidFill>
              <a:srgbClr val="E40D2C"/>
            </a:solidFill>
            <a:ln>
              <a:solidFill>
                <a:srgbClr val="FFFFFF"/>
              </a:solidFill>
            </a:ln>
          </c:spPr>
          <c:invertIfNegative val="0"/>
          <c:cat>
            <c:numRef>
              <c:f>Longliners!$D$91:$M$91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Longliners!$D$102:$M$102</c:f>
              <c:numCache>
                <c:formatCode>0%</c:formatCode>
                <c:ptCount val="10"/>
                <c:pt idx="0">
                  <c:v>1.7117804714606163E-2</c:v>
                </c:pt>
              </c:numCache>
            </c:numRef>
          </c:val>
          <c:extLst>
            <c:ext xmlns:c16="http://schemas.microsoft.com/office/drawing/2014/chart" uri="{C3380CC4-5D6E-409C-BE32-E72D297353CC}">
              <c16:uniqueId val="{0000000A-3548-440F-A517-2683AF8F3AD3}"/>
            </c:ext>
          </c:extLst>
        </c:ser>
        <c:ser>
          <c:idx val="11"/>
          <c:order val="11"/>
          <c:tx>
            <c:strRef>
              <c:f>Longliners!$C$103</c:f>
              <c:strCache>
                <c:ptCount val="1"/>
                <c:pt idx="0">
                  <c:v>Others</c:v>
                </c:pt>
              </c:strCache>
            </c:strRef>
          </c:tx>
          <c:spPr>
            <a:solidFill>
              <a:srgbClr val="55585A"/>
            </a:solidFill>
            <a:ln>
              <a:solidFill>
                <a:srgbClr val="FFFFFF"/>
              </a:solidFill>
            </a:ln>
          </c:spPr>
          <c:invertIfNegative val="0"/>
          <c:cat>
            <c:numRef>
              <c:f>Longliners!$D$91:$M$91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Longliners!$D$103:$M$103</c:f>
              <c:numCache>
                <c:formatCode>0%</c:formatCode>
                <c:ptCount val="10"/>
                <c:pt idx="0">
                  <c:v>2.3265906388691814E-2</c:v>
                </c:pt>
                <c:pt idx="1">
                  <c:v>3.5970745527021696E-2</c:v>
                </c:pt>
                <c:pt idx="2">
                  <c:v>2.5488919122872579E-2</c:v>
                </c:pt>
                <c:pt idx="3">
                  <c:v>1.4630085519480931E-2</c:v>
                </c:pt>
                <c:pt idx="4">
                  <c:v>1.2467808694221654E-2</c:v>
                </c:pt>
                <c:pt idx="5">
                  <c:v>1.231474669604357E-2</c:v>
                </c:pt>
                <c:pt idx="6">
                  <c:v>2.2528850025311527E-2</c:v>
                </c:pt>
                <c:pt idx="7">
                  <c:v>1.948644392711588E-2</c:v>
                </c:pt>
                <c:pt idx="8">
                  <c:v>1.3438941827517608E-2</c:v>
                </c:pt>
                <c:pt idx="9">
                  <c:v>2.5672972454102022E-2</c:v>
                </c:pt>
              </c:numCache>
            </c:numRef>
          </c:val>
          <c:extLst>
            <c:ext xmlns:c16="http://schemas.microsoft.com/office/drawing/2014/chart" uri="{C3380CC4-5D6E-409C-BE32-E72D297353CC}">
              <c16:uniqueId val="{0000000B-3548-440F-A517-2683AF8F3AD3}"/>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Longliners!$B$162</c:f>
              <c:strCache>
                <c:ptCount val="1"/>
                <c:pt idx="0">
                  <c:v>Hake</c:v>
                </c:pt>
              </c:strCache>
            </c:strRef>
          </c:tx>
          <c:spPr>
            <a:solidFill>
              <a:srgbClr val="2273B9"/>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Longliners!$C$162:$E$162</c:f>
              <c:numCache>
                <c:formatCode>0%</c:formatCode>
                <c:ptCount val="3"/>
                <c:pt idx="0">
                  <c:v>0</c:v>
                </c:pt>
                <c:pt idx="1">
                  <c:v>0.62090799877960379</c:v>
                </c:pt>
                <c:pt idx="2">
                  <c:v>0.65798503884902282</c:v>
                </c:pt>
              </c:numCache>
            </c:numRef>
          </c:val>
          <c:extLst>
            <c:ext xmlns:c16="http://schemas.microsoft.com/office/drawing/2014/chart" uri="{C3380CC4-5D6E-409C-BE32-E72D297353CC}">
              <c16:uniqueId val="{00000000-DCBB-4FB3-BA71-3F6F978DAAB7}"/>
            </c:ext>
          </c:extLst>
        </c:ser>
        <c:ser>
          <c:idx val="1"/>
          <c:order val="1"/>
          <c:tx>
            <c:strRef>
              <c:f>Longliners!$B$163</c:f>
              <c:strCache>
                <c:ptCount val="1"/>
                <c:pt idx="0">
                  <c:v>Ling</c:v>
                </c:pt>
              </c:strCache>
            </c:strRef>
          </c:tx>
          <c:spPr>
            <a:solidFill>
              <a:srgbClr val="E87308"/>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Longliners!$C$163:$E$163</c:f>
              <c:numCache>
                <c:formatCode>0%</c:formatCode>
                <c:ptCount val="3"/>
                <c:pt idx="0">
                  <c:v>0</c:v>
                </c:pt>
                <c:pt idx="1">
                  <c:v>0.31116398663070893</c:v>
                </c:pt>
                <c:pt idx="2">
                  <c:v>0.30128190021706652</c:v>
                </c:pt>
              </c:numCache>
            </c:numRef>
          </c:val>
          <c:extLst>
            <c:ext xmlns:c16="http://schemas.microsoft.com/office/drawing/2014/chart" uri="{C3380CC4-5D6E-409C-BE32-E72D297353CC}">
              <c16:uniqueId val="{00000001-DCBB-4FB3-BA71-3F6F978DAAB7}"/>
            </c:ext>
          </c:extLst>
        </c:ser>
        <c:ser>
          <c:idx val="2"/>
          <c:order val="2"/>
          <c:tx>
            <c:strRef>
              <c:f>Longliners!$B$164</c:f>
              <c:strCache>
                <c:ptCount val="1"/>
                <c:pt idx="0">
                  <c:v>Scallops</c:v>
                </c:pt>
              </c:strCache>
            </c:strRef>
          </c:tx>
          <c:spPr>
            <a:solidFill>
              <a:srgbClr val="C1D119"/>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Longliners!$C$164:$E$164</c:f>
              <c:numCache>
                <c:formatCode>0%</c:formatCode>
                <c:ptCount val="3"/>
                <c:pt idx="0">
                  <c:v>0.11573408040659605</c:v>
                </c:pt>
                <c:pt idx="1">
                  <c:v>2.4566674115785444E-2</c:v>
                </c:pt>
                <c:pt idx="2">
                  <c:v>6.0122143802323049E-3</c:v>
                </c:pt>
              </c:numCache>
            </c:numRef>
          </c:val>
          <c:extLst>
            <c:ext xmlns:c16="http://schemas.microsoft.com/office/drawing/2014/chart" uri="{C3380CC4-5D6E-409C-BE32-E72D297353CC}">
              <c16:uniqueId val="{00000002-DCBB-4FB3-BA71-3F6F978DAAB7}"/>
            </c:ext>
          </c:extLst>
        </c:ser>
        <c:ser>
          <c:idx val="3"/>
          <c:order val="3"/>
          <c:tx>
            <c:strRef>
              <c:f>Longliners!$B$165</c:f>
              <c:strCache>
                <c:ptCount val="1"/>
                <c:pt idx="0">
                  <c:v>Blue Mouth Redfish</c:v>
                </c:pt>
              </c:strCache>
            </c:strRef>
          </c:tx>
          <c:spPr>
            <a:solidFill>
              <a:srgbClr val="0F9AA9"/>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Longliners!$C$165:$E$165</c:f>
              <c:numCache>
                <c:formatCode>0%</c:formatCode>
                <c:ptCount val="3"/>
                <c:pt idx="0">
                  <c:v>0</c:v>
                </c:pt>
                <c:pt idx="1">
                  <c:v>1.2999239709847683E-2</c:v>
                </c:pt>
                <c:pt idx="2">
                  <c:v>0</c:v>
                </c:pt>
              </c:numCache>
            </c:numRef>
          </c:val>
          <c:extLst>
            <c:ext xmlns:c16="http://schemas.microsoft.com/office/drawing/2014/chart" uri="{C3380CC4-5D6E-409C-BE32-E72D297353CC}">
              <c16:uniqueId val="{00000003-DCBB-4FB3-BA71-3F6F978DAAB7}"/>
            </c:ext>
          </c:extLst>
        </c:ser>
        <c:ser>
          <c:idx val="4"/>
          <c:order val="4"/>
          <c:tx>
            <c:strRef>
              <c:f>Longliners!$B$166</c:f>
              <c:strCache>
                <c:ptCount val="1"/>
                <c:pt idx="0">
                  <c:v>Pollack</c:v>
                </c:pt>
              </c:strCache>
            </c:strRef>
          </c:tx>
          <c:spPr>
            <a:solidFill>
              <a:srgbClr val="E84A38"/>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Longliners!$C$166:$E$166</c:f>
              <c:numCache>
                <c:formatCode>0%</c:formatCode>
                <c:ptCount val="3"/>
                <c:pt idx="0">
                  <c:v>0</c:v>
                </c:pt>
                <c:pt idx="1">
                  <c:v>9.5296150463201074E-3</c:v>
                </c:pt>
                <c:pt idx="2">
                  <c:v>7.0727990135228767E-3</c:v>
                </c:pt>
              </c:numCache>
            </c:numRef>
          </c:val>
          <c:extLst>
            <c:ext xmlns:c16="http://schemas.microsoft.com/office/drawing/2014/chart" uri="{C3380CC4-5D6E-409C-BE32-E72D297353CC}">
              <c16:uniqueId val="{00000004-DCBB-4FB3-BA71-3F6F978DAAB7}"/>
            </c:ext>
          </c:extLst>
        </c:ser>
        <c:ser>
          <c:idx val="5"/>
          <c:order val="5"/>
          <c:tx>
            <c:strRef>
              <c:f>Longliners!$B$167</c:f>
              <c:strCache>
                <c:ptCount val="1"/>
                <c:pt idx="0">
                  <c:v>Razor Clam</c:v>
                </c:pt>
              </c:strCache>
            </c:strRef>
          </c:tx>
          <c:spPr>
            <a:solidFill>
              <a:srgbClr val="648C2E"/>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Longliners!$C$167:$E$167</c:f>
              <c:numCache>
                <c:formatCode>0%</c:formatCode>
                <c:ptCount val="3"/>
                <c:pt idx="0">
                  <c:v>0.31795789550213216</c:v>
                </c:pt>
                <c:pt idx="1">
                  <c:v>0</c:v>
                </c:pt>
                <c:pt idx="2">
                  <c:v>8.8679130392198199E-3</c:v>
                </c:pt>
              </c:numCache>
            </c:numRef>
          </c:val>
          <c:extLst>
            <c:ext xmlns:c16="http://schemas.microsoft.com/office/drawing/2014/chart" uri="{C3380CC4-5D6E-409C-BE32-E72D297353CC}">
              <c16:uniqueId val="{00000005-DCBB-4FB3-BA71-3F6F978DAAB7}"/>
            </c:ext>
          </c:extLst>
        </c:ser>
        <c:ser>
          <c:idx val="6"/>
          <c:order val="6"/>
          <c:tx>
            <c:strRef>
              <c:f>Longliners!$B$168</c:f>
              <c:strCache>
                <c:ptCount val="1"/>
                <c:pt idx="0">
                  <c:v>Nephrops</c:v>
                </c:pt>
              </c:strCache>
            </c:strRef>
          </c:tx>
          <c:spPr>
            <a:solidFill>
              <a:srgbClr val="FED825"/>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Longliners!$C$168:$E$168</c:f>
              <c:numCache>
                <c:formatCode>0%</c:formatCode>
                <c:ptCount val="3"/>
                <c:pt idx="0">
                  <c:v>2.2965784828810713E-4</c:v>
                </c:pt>
                <c:pt idx="1">
                  <c:v>0</c:v>
                </c:pt>
                <c:pt idx="2">
                  <c:v>0</c:v>
                </c:pt>
              </c:numCache>
            </c:numRef>
          </c:val>
          <c:extLst>
            <c:ext xmlns:c16="http://schemas.microsoft.com/office/drawing/2014/chart" uri="{C3380CC4-5D6E-409C-BE32-E72D297353CC}">
              <c16:uniqueId val="{00000006-DCBB-4FB3-BA71-3F6F978DAAB7}"/>
            </c:ext>
          </c:extLst>
        </c:ser>
        <c:ser>
          <c:idx val="7"/>
          <c:order val="7"/>
          <c:tx>
            <c:strRef>
              <c:f>Longliners!$B$169</c:f>
              <c:strCache>
                <c:ptCount val="1"/>
                <c:pt idx="0">
                  <c:v>Others</c:v>
                </c:pt>
              </c:strCache>
            </c:strRef>
          </c:tx>
          <c:spPr>
            <a:solidFill>
              <a:srgbClr val="55585A"/>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Longliners!$C$169:$E$169</c:f>
              <c:numCache>
                <c:formatCode>0%</c:formatCode>
                <c:ptCount val="3"/>
                <c:pt idx="0">
                  <c:v>0</c:v>
                </c:pt>
                <c:pt idx="1">
                  <c:v>2.0832485717733995E-2</c:v>
                </c:pt>
                <c:pt idx="2">
                  <c:v>1.8780134500935741E-2</c:v>
                </c:pt>
              </c:numCache>
            </c:numRef>
          </c:val>
          <c:extLst>
            <c:ext xmlns:c16="http://schemas.microsoft.com/office/drawing/2014/chart" uri="{C3380CC4-5D6E-409C-BE32-E72D297353CC}">
              <c16:uniqueId val="{00000007-DCBB-4FB3-BA71-3F6F978DAAB7}"/>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Longliners!$H$162</c:f>
              <c:strCache>
                <c:ptCount val="1"/>
                <c:pt idx="0">
                  <c:v>Hake</c:v>
                </c:pt>
              </c:strCache>
            </c:strRef>
          </c:tx>
          <c:spPr>
            <a:solidFill>
              <a:srgbClr val="2273B9"/>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Longliners!$I$162:$K$162</c:f>
              <c:numCache>
                <c:formatCode>0%</c:formatCode>
                <c:ptCount val="3"/>
                <c:pt idx="0">
                  <c:v>0</c:v>
                </c:pt>
                <c:pt idx="1">
                  <c:v>0.64643643342789658</c:v>
                </c:pt>
                <c:pt idx="2">
                  <c:v>0.66129349429576945</c:v>
                </c:pt>
              </c:numCache>
            </c:numRef>
          </c:val>
          <c:extLst>
            <c:ext xmlns:c16="http://schemas.microsoft.com/office/drawing/2014/chart" uri="{C3380CC4-5D6E-409C-BE32-E72D297353CC}">
              <c16:uniqueId val="{00000000-3123-4145-B005-83E1A75BAE2C}"/>
            </c:ext>
          </c:extLst>
        </c:ser>
        <c:ser>
          <c:idx val="1"/>
          <c:order val="1"/>
          <c:tx>
            <c:strRef>
              <c:f>Longliners!$H$163</c:f>
              <c:strCache>
                <c:ptCount val="1"/>
                <c:pt idx="0">
                  <c:v>Ling</c:v>
                </c:pt>
              </c:strCache>
            </c:strRef>
          </c:tx>
          <c:spPr>
            <a:solidFill>
              <a:srgbClr val="E87308"/>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Longliners!$I$163:$K$163</c:f>
              <c:numCache>
                <c:formatCode>0%</c:formatCode>
                <c:ptCount val="3"/>
                <c:pt idx="0">
                  <c:v>0</c:v>
                </c:pt>
                <c:pt idx="1">
                  <c:v>0.23742177648308835</c:v>
                </c:pt>
                <c:pt idx="2">
                  <c:v>0.25895078777549069</c:v>
                </c:pt>
              </c:numCache>
            </c:numRef>
          </c:val>
          <c:extLst>
            <c:ext xmlns:c16="http://schemas.microsoft.com/office/drawing/2014/chart" uri="{C3380CC4-5D6E-409C-BE32-E72D297353CC}">
              <c16:uniqueId val="{00000001-3123-4145-B005-83E1A75BAE2C}"/>
            </c:ext>
          </c:extLst>
        </c:ser>
        <c:ser>
          <c:idx val="2"/>
          <c:order val="2"/>
          <c:tx>
            <c:strRef>
              <c:f>Longliners!$H$164</c:f>
              <c:strCache>
                <c:ptCount val="1"/>
                <c:pt idx="0">
                  <c:v>Scallops</c:v>
                </c:pt>
              </c:strCache>
            </c:strRef>
          </c:tx>
          <c:spPr>
            <a:solidFill>
              <a:srgbClr val="C1D119"/>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Longliners!$I$164:$K$164</c:f>
              <c:numCache>
                <c:formatCode>0%</c:formatCode>
                <c:ptCount val="3"/>
                <c:pt idx="0">
                  <c:v>5.6020373078734212E-2</c:v>
                </c:pt>
                <c:pt idx="1">
                  <c:v>5.059188439101929E-2</c:v>
                </c:pt>
                <c:pt idx="2">
                  <c:v>1.3928804527901302E-2</c:v>
                </c:pt>
              </c:numCache>
            </c:numRef>
          </c:val>
          <c:extLst>
            <c:ext xmlns:c16="http://schemas.microsoft.com/office/drawing/2014/chart" uri="{C3380CC4-5D6E-409C-BE32-E72D297353CC}">
              <c16:uniqueId val="{00000002-3123-4145-B005-83E1A75BAE2C}"/>
            </c:ext>
          </c:extLst>
        </c:ser>
        <c:ser>
          <c:idx val="3"/>
          <c:order val="3"/>
          <c:tx>
            <c:strRef>
              <c:f>Longliners!$H$165</c:f>
              <c:strCache>
                <c:ptCount val="1"/>
                <c:pt idx="0">
                  <c:v>Razor Clam</c:v>
                </c:pt>
              </c:strCache>
            </c:strRef>
          </c:tx>
          <c:spPr>
            <a:solidFill>
              <a:srgbClr val="648C2E"/>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Longliners!$I$165:$K$165</c:f>
              <c:numCache>
                <c:formatCode>0%</c:formatCode>
                <c:ptCount val="3"/>
                <c:pt idx="0">
                  <c:v>0.31487010511681446</c:v>
                </c:pt>
                <c:pt idx="1">
                  <c:v>3.6441060046749636E-2</c:v>
                </c:pt>
                <c:pt idx="2">
                  <c:v>3.9490996918029327E-2</c:v>
                </c:pt>
              </c:numCache>
            </c:numRef>
          </c:val>
          <c:extLst>
            <c:ext xmlns:c16="http://schemas.microsoft.com/office/drawing/2014/chart" uri="{C3380CC4-5D6E-409C-BE32-E72D297353CC}">
              <c16:uniqueId val="{00000003-3123-4145-B005-83E1A75BAE2C}"/>
            </c:ext>
          </c:extLst>
        </c:ser>
        <c:ser>
          <c:idx val="4"/>
          <c:order val="4"/>
          <c:tx>
            <c:strRef>
              <c:f>Longliners!$H$166</c:f>
              <c:strCache>
                <c:ptCount val="1"/>
                <c:pt idx="0">
                  <c:v>Pollack</c:v>
                </c:pt>
              </c:strCache>
            </c:strRef>
          </c:tx>
          <c:spPr>
            <a:solidFill>
              <a:srgbClr val="E84A38"/>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Longliners!$I$166:$K$166</c:f>
              <c:numCache>
                <c:formatCode>0%</c:formatCode>
                <c:ptCount val="3"/>
                <c:pt idx="0">
                  <c:v>0</c:v>
                </c:pt>
                <c:pt idx="1">
                  <c:v>1.4407750982328226E-2</c:v>
                </c:pt>
                <c:pt idx="2">
                  <c:v>1.3001244986496218E-2</c:v>
                </c:pt>
              </c:numCache>
            </c:numRef>
          </c:val>
          <c:extLst>
            <c:ext xmlns:c16="http://schemas.microsoft.com/office/drawing/2014/chart" uri="{C3380CC4-5D6E-409C-BE32-E72D297353CC}">
              <c16:uniqueId val="{00000004-3123-4145-B005-83E1A75BAE2C}"/>
            </c:ext>
          </c:extLst>
        </c:ser>
        <c:ser>
          <c:idx val="5"/>
          <c:order val="5"/>
          <c:tx>
            <c:strRef>
              <c:f>Longliners!$H$167</c:f>
              <c:strCache>
                <c:ptCount val="1"/>
                <c:pt idx="0">
                  <c:v>Nephrops</c:v>
                </c:pt>
              </c:strCache>
            </c:strRef>
          </c:tx>
          <c:spPr>
            <a:solidFill>
              <a:srgbClr val="FED825"/>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Longliners!$I$167:$K$167</c:f>
              <c:numCache>
                <c:formatCode>0%</c:formatCode>
                <c:ptCount val="3"/>
                <c:pt idx="0">
                  <c:v>1.5606819761662137E-4</c:v>
                </c:pt>
                <c:pt idx="1">
                  <c:v>0</c:v>
                </c:pt>
                <c:pt idx="2">
                  <c:v>0</c:v>
                </c:pt>
              </c:numCache>
            </c:numRef>
          </c:val>
          <c:extLst>
            <c:ext xmlns:c16="http://schemas.microsoft.com/office/drawing/2014/chart" uri="{C3380CC4-5D6E-409C-BE32-E72D297353CC}">
              <c16:uniqueId val="{00000005-3123-4145-B005-83E1A75BAE2C}"/>
            </c:ext>
          </c:extLst>
        </c:ser>
        <c:ser>
          <c:idx val="6"/>
          <c:order val="6"/>
          <c:tx>
            <c:strRef>
              <c:f>Longliners!$H$168</c:f>
              <c:strCache>
                <c:ptCount val="1"/>
                <c:pt idx="0">
                  <c:v>Others</c:v>
                </c:pt>
              </c:strCache>
            </c:strRef>
          </c:tx>
          <c:spPr>
            <a:solidFill>
              <a:srgbClr val="55585A"/>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Longliners!$I$168:$K$168</c:f>
              <c:numCache>
                <c:formatCode>0%</c:formatCode>
                <c:ptCount val="3"/>
                <c:pt idx="0">
                  <c:v>0</c:v>
                </c:pt>
                <c:pt idx="1">
                  <c:v>1.4701094668917891E-2</c:v>
                </c:pt>
                <c:pt idx="2">
                  <c:v>1.3334671496312844E-2</c:v>
                </c:pt>
              </c:numCache>
            </c:numRef>
          </c:val>
          <c:extLst>
            <c:ext xmlns:c16="http://schemas.microsoft.com/office/drawing/2014/chart" uri="{C3380CC4-5D6E-409C-BE32-E72D297353CC}">
              <c16:uniqueId val="{00000006-3123-4145-B005-83E1A75BAE2C}"/>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Longliners!$K$139</c:f>
              <c:strCache>
                <c:ptCount val="1"/>
                <c:pt idx="0">
                  <c:v>Total income</c:v>
                </c:pt>
              </c:strCache>
            </c:strRef>
          </c:tx>
          <c:spPr>
            <a:solidFill>
              <a:srgbClr val="087CBB"/>
            </a:solidFill>
            <a:ln>
              <a:solidFill>
                <a:schemeClr val="accent1"/>
              </a:solidFill>
            </a:ln>
          </c:spPr>
          <c:invertIfNegative val="0"/>
          <c:cat>
            <c:strRef>
              <c:f>Longliners!$L$138:$N$138</c:f>
              <c:strCache>
                <c:ptCount val="3"/>
                <c:pt idx="0">
                  <c:v>Most
profitable
quartile</c:v>
                </c:pt>
                <c:pt idx="1">
                  <c:v>Middle
two quartiles</c:v>
                </c:pt>
                <c:pt idx="2">
                  <c:v>Least
profitable
quartile</c:v>
                </c:pt>
              </c:strCache>
            </c:strRef>
          </c:cat>
          <c:val>
            <c:numRef>
              <c:f>Longliners!$L$139:$N$139</c:f>
              <c:numCache>
                <c:formatCode>#,##0</c:formatCode>
                <c:ptCount val="3"/>
                <c:pt idx="0">
                  <c:v>336.60862500000002</c:v>
                </c:pt>
                <c:pt idx="1">
                  <c:v>689.14683333333301</c:v>
                </c:pt>
                <c:pt idx="2">
                  <c:v>154.84471875</c:v>
                </c:pt>
              </c:numCache>
            </c:numRef>
          </c:val>
          <c:extLst>
            <c:ext xmlns:c16="http://schemas.microsoft.com/office/drawing/2014/chart" uri="{C3380CC4-5D6E-409C-BE32-E72D297353CC}">
              <c16:uniqueId val="{00000000-51F5-4035-90F7-8DDD1811F8EF}"/>
            </c:ext>
          </c:extLst>
        </c:ser>
        <c:ser>
          <c:idx val="1"/>
          <c:order val="1"/>
          <c:tx>
            <c:strRef>
              <c:f>Longliners!$K$140</c:f>
              <c:strCache>
                <c:ptCount val="1"/>
                <c:pt idx="0">
                  <c:v>Operating costs</c:v>
                </c:pt>
              </c:strCache>
            </c:strRef>
          </c:tx>
          <c:spPr>
            <a:solidFill>
              <a:srgbClr val="E87308"/>
            </a:solidFill>
          </c:spPr>
          <c:invertIfNegative val="0"/>
          <c:cat>
            <c:strRef>
              <c:f>Longliners!$L$138:$N$138</c:f>
              <c:strCache>
                <c:ptCount val="3"/>
                <c:pt idx="0">
                  <c:v>Most
profitable
quartile</c:v>
                </c:pt>
                <c:pt idx="1">
                  <c:v>Middle
two quartiles</c:v>
                </c:pt>
                <c:pt idx="2">
                  <c:v>Least
profitable
quartile</c:v>
                </c:pt>
              </c:strCache>
            </c:strRef>
          </c:cat>
          <c:val>
            <c:numRef>
              <c:f>Longliners!$L$140:$N$140</c:f>
              <c:numCache>
                <c:formatCode>#,##0</c:formatCode>
                <c:ptCount val="3"/>
                <c:pt idx="0">
                  <c:v>223.92996875</c:v>
                </c:pt>
                <c:pt idx="1">
                  <c:v>551.78580208333301</c:v>
                </c:pt>
                <c:pt idx="2">
                  <c:v>157.681640625</c:v>
                </c:pt>
              </c:numCache>
            </c:numRef>
          </c:val>
          <c:extLst>
            <c:ext xmlns:c16="http://schemas.microsoft.com/office/drawing/2014/chart" uri="{C3380CC4-5D6E-409C-BE32-E72D297353CC}">
              <c16:uniqueId val="{00000001-51F5-4035-90F7-8DDD1811F8EF}"/>
            </c:ext>
          </c:extLst>
        </c:ser>
        <c:ser>
          <c:idx val="2"/>
          <c:order val="2"/>
          <c:tx>
            <c:strRef>
              <c:f>Longliners!$K$141</c:f>
              <c:strCache>
                <c:ptCount val="1"/>
                <c:pt idx="0">
                  <c:v>Operating profit</c:v>
                </c:pt>
              </c:strCache>
            </c:strRef>
          </c:tx>
          <c:spPr>
            <a:solidFill>
              <a:srgbClr val="51AA81"/>
            </a:solidFill>
          </c:spPr>
          <c:invertIfNegative val="0"/>
          <c:cat>
            <c:strRef>
              <c:f>Longliners!$L$138:$N$138</c:f>
              <c:strCache>
                <c:ptCount val="3"/>
                <c:pt idx="0">
                  <c:v>Most
profitable
quartile</c:v>
                </c:pt>
                <c:pt idx="1">
                  <c:v>Middle
two quartiles</c:v>
                </c:pt>
                <c:pt idx="2">
                  <c:v>Least
profitable
quartile</c:v>
                </c:pt>
              </c:strCache>
            </c:strRef>
          </c:cat>
          <c:val>
            <c:numRef>
              <c:f>Longliners!$L$141:$N$141</c:f>
              <c:numCache>
                <c:formatCode>#,##0</c:formatCode>
                <c:ptCount val="3"/>
                <c:pt idx="0">
                  <c:v>112.67865625</c:v>
                </c:pt>
                <c:pt idx="1">
                  <c:v>137.36103125</c:v>
                </c:pt>
                <c:pt idx="2">
                  <c:v>-2.8369218749999998</c:v>
                </c:pt>
              </c:numCache>
            </c:numRef>
          </c:val>
          <c:extLst>
            <c:ext xmlns:c16="http://schemas.microsoft.com/office/drawing/2014/chart" uri="{C3380CC4-5D6E-409C-BE32-E72D297353CC}">
              <c16:uniqueId val="{00000002-51F5-4035-90F7-8DDD1811F8EF}"/>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Longliners!$K$142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10m'!$A$48</c:f>
          <c:strCache>
            <c:ptCount val="1"/>
            <c:pt idx="0">
              <c:v>Landings per kW day at sea (kg)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DC0D-4DE4-B040-AA025DAF0156}"/>
              </c:ext>
            </c:extLst>
          </c:dPt>
          <c:dPt>
            <c:idx val="10"/>
            <c:bubble3D val="0"/>
            <c:spPr>
              <a:ln w="57150">
                <a:solidFill>
                  <a:srgbClr val="2273B9"/>
                </a:solidFill>
                <a:prstDash val="sysDot"/>
              </a:ln>
            </c:spPr>
            <c:extLst>
              <c:ext xmlns:c16="http://schemas.microsoft.com/office/drawing/2014/chart" uri="{C3380CC4-5D6E-409C-BE32-E72D297353CC}">
                <c16:uniqueId val="{00000003-DC0D-4DE4-B040-AA025DAF0156}"/>
              </c:ext>
            </c:extLst>
          </c:dPt>
          <c:cat>
            <c:numRef>
              <c:f>'Low activity over 10m'!$D$2:$N$2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'Low activity over 10m'!$D$21:$N$21</c:f>
              <c:numCache>
                <c:formatCode>#,##0.00</c:formatCode>
                <c:ptCount val="11"/>
                <c:pt idx="0">
                  <c:v>1.3045581916520703</c:v>
                </c:pt>
                <c:pt idx="1">
                  <c:v>1.6683498513075961</c:v>
                </c:pt>
                <c:pt idx="2">
                  <c:v>1.2378215506561512</c:v>
                </c:pt>
                <c:pt idx="3">
                  <c:v>8.7052615844053438</c:v>
                </c:pt>
                <c:pt idx="4">
                  <c:v>1.0227430777529332</c:v>
                </c:pt>
                <c:pt idx="5">
                  <c:v>10.54595221632928</c:v>
                </c:pt>
                <c:pt idx="6">
                  <c:v>1.224611159022164</c:v>
                </c:pt>
                <c:pt idx="7">
                  <c:v>0.9181647865833158</c:v>
                </c:pt>
                <c:pt idx="8">
                  <c:v>0.98618524970952381</c:v>
                </c:pt>
                <c:pt idx="9">
                  <c:v>0.57403356389259674</c:v>
                </c:pt>
                <c:pt idx="10">
                  <c:v>0.36694145378640497</c:v>
                </c:pt>
              </c:numCache>
            </c:numRef>
          </c:val>
          <c:smooth val="0"/>
          <c:extLst>
            <c:ext xmlns:c16="http://schemas.microsoft.com/office/drawing/2014/chart" uri="{C3380CC4-5D6E-409C-BE32-E72D297353CC}">
              <c16:uniqueId val="{00000004-DC0D-4DE4-B040-AA025DAF0156}"/>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10m'!$A$49</c:f>
          <c:strCache>
            <c:ptCount val="1"/>
            <c:pt idx="0">
              <c:v>Fishing income per kW day at sea (£)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FF10-45A4-AAB7-07654BB3F886}"/>
              </c:ext>
            </c:extLst>
          </c:dPt>
          <c:dPt>
            <c:idx val="10"/>
            <c:bubble3D val="0"/>
            <c:spPr>
              <a:ln w="57150">
                <a:solidFill>
                  <a:srgbClr val="648C2E"/>
                </a:solidFill>
                <a:prstDash val="sysDot"/>
              </a:ln>
            </c:spPr>
            <c:extLst>
              <c:ext xmlns:c16="http://schemas.microsoft.com/office/drawing/2014/chart" uri="{C3380CC4-5D6E-409C-BE32-E72D297353CC}">
                <c16:uniqueId val="{00000003-FF10-45A4-AAB7-07654BB3F886}"/>
              </c:ext>
            </c:extLst>
          </c:dPt>
          <c:cat>
            <c:numRef>
              <c:f>'Low activity over 10m'!$D$2:$N$2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'Low activity over 10m'!$D$22:$N$22</c:f>
              <c:numCache>
                <c:formatCode>#,##0.00</c:formatCode>
                <c:ptCount val="11"/>
                <c:pt idx="0">
                  <c:v>2.7820825362158699</c:v>
                </c:pt>
                <c:pt idx="1">
                  <c:v>2.3937424154896498</c:v>
                </c:pt>
                <c:pt idx="2">
                  <c:v>2.5099003041705101</c:v>
                </c:pt>
                <c:pt idx="3">
                  <c:v>1.29460226549618</c:v>
                </c:pt>
                <c:pt idx="4">
                  <c:v>2.5982537364610998</c:v>
                </c:pt>
                <c:pt idx="5">
                  <c:v>1.91364886018518</c:v>
                </c:pt>
                <c:pt idx="6">
                  <c:v>2.1936034567904699</c:v>
                </c:pt>
                <c:pt idx="7">
                  <c:v>2.2374836936787501</c:v>
                </c:pt>
                <c:pt idx="8">
                  <c:v>2.39635566223517</c:v>
                </c:pt>
                <c:pt idx="9">
                  <c:v>1.35627404695507</c:v>
                </c:pt>
                <c:pt idx="10">
                  <c:v>0.8916036713612121</c:v>
                </c:pt>
              </c:numCache>
            </c:numRef>
          </c:val>
          <c:smooth val="0"/>
          <c:extLst>
            <c:ext xmlns:c16="http://schemas.microsoft.com/office/drawing/2014/chart" uri="{C3380CC4-5D6E-409C-BE32-E72D297353CC}">
              <c16:uniqueId val="{00000004-FF10-45A4-AAB7-07654BB3F886}"/>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10m'!$B$62</c:f>
          <c:strCache>
            <c:ptCount val="1"/>
            <c:pt idx="0">
              <c:v>Total cost per kW day at sea (£)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68D6-4F42-8077-79B207EB209E}"/>
              </c:ext>
            </c:extLst>
          </c:dPt>
          <c:dPt>
            <c:idx val="10"/>
            <c:bubble3D val="0"/>
            <c:spPr>
              <a:ln w="57150">
                <a:solidFill>
                  <a:srgbClr val="087CBB"/>
                </a:solidFill>
                <a:prstDash val="sysDot"/>
              </a:ln>
            </c:spPr>
            <c:extLst>
              <c:ext xmlns:c16="http://schemas.microsoft.com/office/drawing/2014/chart" uri="{C3380CC4-5D6E-409C-BE32-E72D297353CC}">
                <c16:uniqueId val="{00000003-68D6-4F42-8077-79B207EB209E}"/>
              </c:ext>
            </c:extLst>
          </c:dPt>
          <c:cat>
            <c:numRef>
              <c:f>'Low activity over 10m'!$D$2:$N$2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'Low activity over 10m'!$D$23:$N$23</c:f>
              <c:numCache>
                <c:formatCode>#,##0.00</c:formatCode>
                <c:ptCount val="11"/>
                <c:pt idx="0">
                  <c:v>3.49392099129969</c:v>
                </c:pt>
                <c:pt idx="1">
                  <c:v>3.57117260199314</c:v>
                </c:pt>
                <c:pt idx="2">
                  <c:v>4.2226620498664396</c:v>
                </c:pt>
                <c:pt idx="3">
                  <c:v>3.0188762314551099</c:v>
                </c:pt>
                <c:pt idx="4">
                  <c:v>4.7072920728614998</c:v>
                </c:pt>
                <c:pt idx="5">
                  <c:v>2.73707605279805</c:v>
                </c:pt>
                <c:pt idx="6">
                  <c:v>4.29310300869576</c:v>
                </c:pt>
                <c:pt idx="7">
                  <c:v>3.9441077304290499</c:v>
                </c:pt>
                <c:pt idx="8">
                  <c:v>3.8916239310474898</c:v>
                </c:pt>
                <c:pt idx="9">
                  <c:v>2.77520005252837</c:v>
                </c:pt>
                <c:pt idx="10">
                  <c:v>3.848989899004569</c:v>
                </c:pt>
              </c:numCache>
            </c:numRef>
          </c:val>
          <c:smooth val="0"/>
          <c:extLst>
            <c:ext xmlns:c16="http://schemas.microsoft.com/office/drawing/2014/chart" uri="{C3380CC4-5D6E-409C-BE32-E72D297353CC}">
              <c16:uniqueId val="{00000004-68D6-4F42-8077-79B207EB209E}"/>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10m'!$K$48</c:f>
          <c:strCache>
            <c:ptCount val="1"/>
            <c:pt idx="0">
              <c:v>Operating profit per kW day at sea (£)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c:ext xmlns:c16="http://schemas.microsoft.com/office/drawing/2014/chart" uri="{C3380CC4-5D6E-409C-BE32-E72D297353CC}">
                <c16:uniqueId val="{00000001-7DAE-4D02-BAC8-4807426B7CA6}"/>
              </c:ext>
            </c:extLst>
          </c:dPt>
          <c:dPt>
            <c:idx val="10"/>
            <c:bubble3D val="0"/>
            <c:spPr>
              <a:ln w="57150">
                <a:solidFill>
                  <a:schemeClr val="accent3"/>
                </a:solidFill>
                <a:prstDash val="sysDot"/>
              </a:ln>
            </c:spPr>
            <c:extLst>
              <c:ext xmlns:c16="http://schemas.microsoft.com/office/drawing/2014/chart" uri="{C3380CC4-5D6E-409C-BE32-E72D297353CC}">
                <c16:uniqueId val="{00000003-7DAE-4D02-BAC8-4807426B7CA6}"/>
              </c:ext>
            </c:extLst>
          </c:dPt>
          <c:cat>
            <c:numRef>
              <c:f>'Low activity over 10m'!$D$2:$N$2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'Low activity over 10m'!$D$24:$N$24</c:f>
              <c:numCache>
                <c:formatCode>#,##0.00</c:formatCode>
                <c:ptCount val="11"/>
                <c:pt idx="0">
                  <c:v>-0.64290914842264602</c:v>
                </c:pt>
                <c:pt idx="1">
                  <c:v>-1.05933627953424</c:v>
                </c:pt>
                <c:pt idx="2">
                  <c:v>-1.64093754450534</c:v>
                </c:pt>
                <c:pt idx="3">
                  <c:v>-1.6916515990243799</c:v>
                </c:pt>
                <c:pt idx="4">
                  <c:v>-1.91516854408155</c:v>
                </c:pt>
                <c:pt idx="5">
                  <c:v>-0.728235391612856</c:v>
                </c:pt>
                <c:pt idx="6">
                  <c:v>-1.9358229191187299</c:v>
                </c:pt>
                <c:pt idx="7">
                  <c:v>-1.5620382117064799</c:v>
                </c:pt>
                <c:pt idx="8">
                  <c:v>-1.3164632018489799</c:v>
                </c:pt>
                <c:pt idx="9">
                  <c:v>0.327927183263727</c:v>
                </c:pt>
                <c:pt idx="10">
                  <c:v>-2.8908588469064775</c:v>
                </c:pt>
              </c:numCache>
            </c:numRef>
          </c:val>
          <c:smooth val="0"/>
          <c:extLst>
            <c:ext xmlns:c16="http://schemas.microsoft.com/office/drawing/2014/chart" uri="{C3380CC4-5D6E-409C-BE32-E72D297353CC}">
              <c16:uniqueId val="{00000004-7DAE-4D02-BAC8-4807426B7CA6}"/>
            </c:ext>
          </c:extLst>
        </c:ser>
        <c:dLbls>
          <c:showLegendKey val="0"/>
          <c:showVal val="0"/>
          <c:showCatName val="0"/>
          <c:showSerName val="0"/>
          <c:showPercent val="0"/>
          <c:showBubbleSize val="0"/>
        </c:dLbls>
        <c:smooth val="0"/>
        <c:axId val="131719936"/>
        <c:axId val="131721472"/>
      </c:lineChart>
      <c:catAx>
        <c:axId val="131719936"/>
        <c:scaling>
          <c:orientation val="minMax"/>
        </c:scaling>
        <c:delete val="0"/>
        <c:axPos val="b"/>
        <c:numFmt formatCode="General" sourceLinked="1"/>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spPr>
            <a:ln w="3175">
              <a:prstDash val="sysDot"/>
            </a:ln>
          </c:spPr>
        </c:majorGridlines>
        <c:numFmt formatCode="#,##0.00" sourceLinked="1"/>
        <c:majorTickMark val="out"/>
        <c:minorTickMark val="none"/>
        <c:tickLblPos val="nextTo"/>
        <c:crossAx val="131719936"/>
        <c:crosses val="autoZero"/>
        <c:crossBetween val="between"/>
      </c:valAx>
    </c:plotArea>
    <c:plotVisOnly val="0"/>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10m'!$A$50</c:f>
          <c:strCache>
            <c:ptCount val="1"/>
            <c:pt idx="0">
              <c:v>Average price per tonne landed (£)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c:ext xmlns:c16="http://schemas.microsoft.com/office/drawing/2014/chart" uri="{C3380CC4-5D6E-409C-BE32-E72D297353CC}">
                <c16:uniqueId val="{00000001-1755-4F73-A2EA-A35A70D3C768}"/>
              </c:ext>
            </c:extLst>
          </c:dPt>
          <c:dPt>
            <c:idx val="10"/>
            <c:bubble3D val="0"/>
            <c:spPr>
              <a:ln w="57150">
                <a:solidFill>
                  <a:schemeClr val="accent4"/>
                </a:solidFill>
                <a:prstDash val="sysDot"/>
              </a:ln>
            </c:spPr>
            <c:extLst>
              <c:ext xmlns:c16="http://schemas.microsoft.com/office/drawing/2014/chart" uri="{C3380CC4-5D6E-409C-BE32-E72D297353CC}">
                <c16:uniqueId val="{00000003-1755-4F73-A2EA-A35A70D3C768}"/>
              </c:ext>
            </c:extLst>
          </c:dPt>
          <c:cat>
            <c:numRef>
              <c:f>'Low activity over 10m'!$D$2:$M$2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over 10m'!$D$20:$N$20</c:f>
              <c:numCache>
                <c:formatCode>#,##0</c:formatCode>
                <c:ptCount val="11"/>
                <c:pt idx="0">
                  <c:v>2133</c:v>
                </c:pt>
                <c:pt idx="1">
                  <c:v>1435</c:v>
                </c:pt>
                <c:pt idx="2">
                  <c:v>2028</c:v>
                </c:pt>
                <c:pt idx="3">
                  <c:v>149</c:v>
                </c:pt>
                <c:pt idx="4">
                  <c:v>2540</c:v>
                </c:pt>
                <c:pt idx="5">
                  <c:v>181</c:v>
                </c:pt>
                <c:pt idx="6">
                  <c:v>1791</c:v>
                </c:pt>
                <c:pt idx="7">
                  <c:v>2437</c:v>
                </c:pt>
                <c:pt idx="8">
                  <c:v>2430</c:v>
                </c:pt>
                <c:pt idx="9">
                  <c:v>2363</c:v>
                </c:pt>
                <c:pt idx="10">
                  <c:v>2430</c:v>
                </c:pt>
              </c:numCache>
            </c:numRef>
          </c:val>
          <c:smooth val="0"/>
          <c:extLst>
            <c:ext xmlns:c16="http://schemas.microsoft.com/office/drawing/2014/chart" uri="{C3380CC4-5D6E-409C-BE32-E72D297353CC}">
              <c16:uniqueId val="{00000004-1755-4F73-A2EA-A35A70D3C768}"/>
            </c:ext>
          </c:extLst>
        </c:ser>
        <c:dLbls>
          <c:showLegendKey val="0"/>
          <c:showVal val="0"/>
          <c:showCatName val="0"/>
          <c:showSerName val="0"/>
          <c:showPercent val="0"/>
          <c:showBubbleSize val="0"/>
        </c:dLbls>
        <c:smooth val="0"/>
        <c:axId val="131735552"/>
        <c:axId val="131737088"/>
      </c:lineChart>
      <c:catAx>
        <c:axId val="131735552"/>
        <c:scaling>
          <c:orientation val="minMax"/>
        </c:scaling>
        <c:delete val="0"/>
        <c:axPos val="b"/>
        <c:numFmt formatCode="General" sourceLinked="1"/>
        <c:majorTickMark val="out"/>
        <c:minorTickMark val="none"/>
        <c:tickLblPos val="nextTo"/>
        <c:crossAx val="131737088"/>
        <c:crosses val="autoZero"/>
        <c:auto val="1"/>
        <c:lblAlgn val="ctr"/>
        <c:lblOffset val="100"/>
        <c:noMultiLvlLbl val="0"/>
      </c:catAx>
      <c:valAx>
        <c:axId val="131737088"/>
        <c:scaling>
          <c:orientation val="minMax"/>
        </c:scaling>
        <c:delete val="0"/>
        <c:axPos val="l"/>
        <c:majorGridlines>
          <c:spPr>
            <a:ln w="3175">
              <a:prstDash val="sysDot"/>
            </a:ln>
          </c:spPr>
        </c:majorGridlines>
        <c:numFmt formatCode="#,##0" sourceLinked="1"/>
        <c:majorTickMark val="out"/>
        <c:minorTickMark val="none"/>
        <c:tickLblPos val="nextTo"/>
        <c:crossAx val="131735552"/>
        <c:crosses val="autoZero"/>
        <c:crossBetween val="between"/>
      </c:valAx>
    </c:plotArea>
    <c:plotVisOnly val="0"/>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demersal trawl'!$K$77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VIIa demersal trawl'!$C$92</c:f>
              <c:strCache>
                <c:ptCount val="1"/>
                <c:pt idx="0">
                  <c:v>Haddock</c:v>
                </c:pt>
              </c:strCache>
            </c:strRef>
          </c:tx>
          <c:spPr>
            <a:solidFill>
              <a:srgbClr val="2273B9"/>
            </a:solidFill>
            <a:ln>
              <a:solidFill>
                <a:srgbClr val="FFFFFF"/>
              </a:solidFill>
            </a:ln>
          </c:spPr>
          <c:invertIfNegative val="0"/>
          <c:cat>
            <c:numRef>
              <c:f>'Area VIIa demersal trawl'!$D$91:$M$91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demersal trawl'!$D$92:$M$92</c:f>
              <c:numCache>
                <c:formatCode>0%</c:formatCode>
                <c:ptCount val="10"/>
                <c:pt idx="2">
                  <c:v>0.18475703770282353</c:v>
                </c:pt>
                <c:pt idx="3">
                  <c:v>0.18509473775805435</c:v>
                </c:pt>
                <c:pt idx="4">
                  <c:v>0.14096411023913055</c:v>
                </c:pt>
                <c:pt idx="5">
                  <c:v>0.31289612791705923</c:v>
                </c:pt>
                <c:pt idx="6">
                  <c:v>0.53611858184830874</c:v>
                </c:pt>
                <c:pt idx="7">
                  <c:v>0.40628106551979815</c:v>
                </c:pt>
                <c:pt idx="8">
                  <c:v>0.52329003868456203</c:v>
                </c:pt>
                <c:pt idx="9">
                  <c:v>0.4105985897896583</c:v>
                </c:pt>
              </c:numCache>
            </c:numRef>
          </c:val>
          <c:extLst>
            <c:ext xmlns:c16="http://schemas.microsoft.com/office/drawing/2014/chart" uri="{C3380CC4-5D6E-409C-BE32-E72D297353CC}">
              <c16:uniqueId val="{00000000-C8AE-4668-80DC-E79EE75E403D}"/>
            </c:ext>
          </c:extLst>
        </c:ser>
        <c:ser>
          <c:idx val="1"/>
          <c:order val="1"/>
          <c:tx>
            <c:strRef>
              <c:f>'Area VIIa demersal trawl'!$C$93</c:f>
              <c:strCache>
                <c:ptCount val="1"/>
                <c:pt idx="0">
                  <c:v>Cod</c:v>
                </c:pt>
              </c:strCache>
            </c:strRef>
          </c:tx>
          <c:spPr>
            <a:solidFill>
              <a:srgbClr val="E87308"/>
            </a:solidFill>
            <a:ln>
              <a:solidFill>
                <a:srgbClr val="FFFFFF"/>
              </a:solidFill>
            </a:ln>
          </c:spPr>
          <c:invertIfNegative val="0"/>
          <c:cat>
            <c:numRef>
              <c:f>'Area VIIa demersal trawl'!$D$91:$M$91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demersal trawl'!$D$93:$M$93</c:f>
              <c:numCache>
                <c:formatCode>0%</c:formatCode>
                <c:ptCount val="10"/>
                <c:pt idx="0">
                  <c:v>4.1365200959741423E-2</c:v>
                </c:pt>
                <c:pt idx="2">
                  <c:v>1.5140846160567881E-2</c:v>
                </c:pt>
                <c:pt idx="6">
                  <c:v>6.1363132431618832E-2</c:v>
                </c:pt>
                <c:pt idx="7">
                  <c:v>0.11965600146536562</c:v>
                </c:pt>
                <c:pt idx="8">
                  <c:v>0.16447450982095024</c:v>
                </c:pt>
                <c:pt idx="9">
                  <c:v>0.10599888957239167</c:v>
                </c:pt>
              </c:numCache>
            </c:numRef>
          </c:val>
          <c:extLst>
            <c:ext xmlns:c16="http://schemas.microsoft.com/office/drawing/2014/chart" uri="{C3380CC4-5D6E-409C-BE32-E72D297353CC}">
              <c16:uniqueId val="{00000001-C8AE-4668-80DC-E79EE75E403D}"/>
            </c:ext>
          </c:extLst>
        </c:ser>
        <c:ser>
          <c:idx val="2"/>
          <c:order val="2"/>
          <c:tx>
            <c:strRef>
              <c:f>'Area VIIa demersal trawl'!$C$94</c:f>
              <c:strCache>
                <c:ptCount val="1"/>
                <c:pt idx="0">
                  <c:v>Hake</c:v>
                </c:pt>
              </c:strCache>
            </c:strRef>
          </c:tx>
          <c:spPr>
            <a:solidFill>
              <a:srgbClr val="648C2E"/>
            </a:solidFill>
            <a:ln>
              <a:solidFill>
                <a:srgbClr val="FFFFFF"/>
              </a:solidFill>
            </a:ln>
          </c:spPr>
          <c:invertIfNegative val="0"/>
          <c:cat>
            <c:numRef>
              <c:f>'Area VIIa demersal trawl'!$D$91:$M$91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demersal trawl'!$D$94:$M$94</c:f>
              <c:numCache>
                <c:formatCode>0%</c:formatCode>
                <c:ptCount val="10"/>
                <c:pt idx="4">
                  <c:v>4.5681294881545459E-2</c:v>
                </c:pt>
                <c:pt idx="5">
                  <c:v>8.8635586245856907E-2</c:v>
                </c:pt>
                <c:pt idx="6">
                  <c:v>5.2552667179459236E-2</c:v>
                </c:pt>
                <c:pt idx="7">
                  <c:v>7.0965070245495004E-2</c:v>
                </c:pt>
                <c:pt idx="8">
                  <c:v>0.12541912798798482</c:v>
                </c:pt>
                <c:pt idx="9">
                  <c:v>0.1284720718383898</c:v>
                </c:pt>
              </c:numCache>
            </c:numRef>
          </c:val>
          <c:extLst>
            <c:ext xmlns:c16="http://schemas.microsoft.com/office/drawing/2014/chart" uri="{C3380CC4-5D6E-409C-BE32-E72D297353CC}">
              <c16:uniqueId val="{00000002-C8AE-4668-80DC-E79EE75E403D}"/>
            </c:ext>
          </c:extLst>
        </c:ser>
        <c:ser>
          <c:idx val="3"/>
          <c:order val="3"/>
          <c:tx>
            <c:strRef>
              <c:f>'Area VIIa demersal trawl'!$C$95</c:f>
              <c:strCache>
                <c:ptCount val="1"/>
                <c:pt idx="0">
                  <c:v>Scallops</c:v>
                </c:pt>
              </c:strCache>
            </c:strRef>
          </c:tx>
          <c:spPr>
            <a:solidFill>
              <a:srgbClr val="C1D119"/>
            </a:solidFill>
            <a:ln>
              <a:solidFill>
                <a:srgbClr val="FFFFFF"/>
              </a:solidFill>
            </a:ln>
          </c:spPr>
          <c:invertIfNegative val="0"/>
          <c:cat>
            <c:numRef>
              <c:f>'Area VIIa demersal trawl'!$D$91:$M$91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demersal trawl'!$D$95:$M$95</c:f>
              <c:numCache>
                <c:formatCode>0%</c:formatCode>
                <c:ptCount val="10"/>
                <c:pt idx="0">
                  <c:v>0.20187957031932721</c:v>
                </c:pt>
                <c:pt idx="1">
                  <c:v>0.38733157832894249</c:v>
                </c:pt>
                <c:pt idx="2">
                  <c:v>0.3340953238772762</c:v>
                </c:pt>
                <c:pt idx="3">
                  <c:v>0.33304159522524074</c:v>
                </c:pt>
                <c:pt idx="4">
                  <c:v>0.34433358385336416</c:v>
                </c:pt>
                <c:pt idx="5">
                  <c:v>0.12983451718141792</c:v>
                </c:pt>
                <c:pt idx="6">
                  <c:v>0.1065323825737563</c:v>
                </c:pt>
                <c:pt idx="7">
                  <c:v>6.6300255701473063E-2</c:v>
                </c:pt>
                <c:pt idx="8">
                  <c:v>5.0402267609020501E-2</c:v>
                </c:pt>
                <c:pt idx="9">
                  <c:v>0.16930296796209612</c:v>
                </c:pt>
              </c:numCache>
            </c:numRef>
          </c:val>
          <c:extLst>
            <c:ext xmlns:c16="http://schemas.microsoft.com/office/drawing/2014/chart" uri="{C3380CC4-5D6E-409C-BE32-E72D297353CC}">
              <c16:uniqueId val="{00000003-C8AE-4668-80DC-E79EE75E403D}"/>
            </c:ext>
          </c:extLst>
        </c:ser>
        <c:ser>
          <c:idx val="4"/>
          <c:order val="4"/>
          <c:tx>
            <c:strRef>
              <c:f>'Area VIIa demersal trawl'!$C$96</c:f>
              <c:strCache>
                <c:ptCount val="1"/>
                <c:pt idx="0">
                  <c:v>Pollack</c:v>
                </c:pt>
              </c:strCache>
            </c:strRef>
          </c:tx>
          <c:spPr>
            <a:solidFill>
              <a:srgbClr val="E84A38"/>
            </a:solidFill>
            <a:ln>
              <a:solidFill>
                <a:srgbClr val="FFFFFF"/>
              </a:solidFill>
            </a:ln>
          </c:spPr>
          <c:invertIfNegative val="0"/>
          <c:cat>
            <c:numRef>
              <c:f>'Area VIIa demersal trawl'!$D$91:$M$91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demersal trawl'!$D$96:$M$96</c:f>
              <c:numCache>
                <c:formatCode>0%</c:formatCode>
                <c:ptCount val="10"/>
                <c:pt idx="8">
                  <c:v>3.533585332108078E-2</c:v>
                </c:pt>
              </c:numCache>
            </c:numRef>
          </c:val>
          <c:extLst>
            <c:ext xmlns:c16="http://schemas.microsoft.com/office/drawing/2014/chart" uri="{C3380CC4-5D6E-409C-BE32-E72D297353CC}">
              <c16:uniqueId val="{00000004-C8AE-4668-80DC-E79EE75E403D}"/>
            </c:ext>
          </c:extLst>
        </c:ser>
        <c:ser>
          <c:idx val="5"/>
          <c:order val="5"/>
          <c:tx>
            <c:strRef>
              <c:f>'Area VIIa demersal trawl'!$C$97</c:f>
              <c:strCache>
                <c:ptCount val="1"/>
                <c:pt idx="0">
                  <c:v>Nephrops</c:v>
                </c:pt>
              </c:strCache>
            </c:strRef>
          </c:tx>
          <c:spPr>
            <a:solidFill>
              <a:srgbClr val="0F9AA9"/>
            </a:solidFill>
            <a:ln>
              <a:solidFill>
                <a:srgbClr val="FFFFFF"/>
              </a:solidFill>
            </a:ln>
          </c:spPr>
          <c:invertIfNegative val="0"/>
          <c:cat>
            <c:numRef>
              <c:f>'Area VIIa demersal trawl'!$D$91:$M$91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demersal trawl'!$D$97:$M$97</c:f>
              <c:numCache>
                <c:formatCode>0%</c:formatCode>
                <c:ptCount val="10"/>
                <c:pt idx="0">
                  <c:v>0.18043164003313855</c:v>
                </c:pt>
                <c:pt idx="1">
                  <c:v>0.26683032314520816</c:v>
                </c:pt>
                <c:pt idx="2">
                  <c:v>0.35806069120247969</c:v>
                </c:pt>
                <c:pt idx="3">
                  <c:v>0.29548537650867479</c:v>
                </c:pt>
                <c:pt idx="4">
                  <c:v>0.32708743049233968</c:v>
                </c:pt>
                <c:pt idx="5">
                  <c:v>0.21896514602187631</c:v>
                </c:pt>
                <c:pt idx="6">
                  <c:v>0.10699198893965008</c:v>
                </c:pt>
                <c:pt idx="7">
                  <c:v>0.17620025921470323</c:v>
                </c:pt>
                <c:pt idx="9">
                  <c:v>9.9421123051917915E-2</c:v>
                </c:pt>
              </c:numCache>
            </c:numRef>
          </c:val>
          <c:extLst>
            <c:ext xmlns:c16="http://schemas.microsoft.com/office/drawing/2014/chart" uri="{C3380CC4-5D6E-409C-BE32-E72D297353CC}">
              <c16:uniqueId val="{00000005-C8AE-4668-80DC-E79EE75E403D}"/>
            </c:ext>
          </c:extLst>
        </c:ser>
        <c:ser>
          <c:idx val="6"/>
          <c:order val="6"/>
          <c:tx>
            <c:strRef>
              <c:f>'Area VIIa demersal trawl'!$C$98</c:f>
              <c:strCache>
                <c:ptCount val="1"/>
                <c:pt idx="0">
                  <c:v>Cuttlefish</c:v>
                </c:pt>
              </c:strCache>
            </c:strRef>
          </c:tx>
          <c:spPr>
            <a:solidFill>
              <a:srgbClr val="FED825"/>
            </a:solidFill>
            <a:ln>
              <a:solidFill>
                <a:srgbClr val="FFFFFF"/>
              </a:solidFill>
            </a:ln>
          </c:spPr>
          <c:invertIfNegative val="0"/>
          <c:cat>
            <c:numRef>
              <c:f>'Area VIIa demersal trawl'!$D$91:$M$91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demersal trawl'!$D$98:$M$98</c:f>
              <c:numCache>
                <c:formatCode>0%</c:formatCode>
                <c:ptCount val="10"/>
                <c:pt idx="5">
                  <c:v>8.7506630479867273E-2</c:v>
                </c:pt>
              </c:numCache>
            </c:numRef>
          </c:val>
          <c:extLst>
            <c:ext xmlns:c16="http://schemas.microsoft.com/office/drawing/2014/chart" uri="{C3380CC4-5D6E-409C-BE32-E72D297353CC}">
              <c16:uniqueId val="{00000006-C8AE-4668-80DC-E79EE75E403D}"/>
            </c:ext>
          </c:extLst>
        </c:ser>
        <c:ser>
          <c:idx val="7"/>
          <c:order val="7"/>
          <c:tx>
            <c:strRef>
              <c:f>'Area VIIa demersal trawl'!$C$99</c:f>
              <c:strCache>
                <c:ptCount val="1"/>
                <c:pt idx="0">
                  <c:v>Brown Crab</c:v>
                </c:pt>
              </c:strCache>
            </c:strRef>
          </c:tx>
          <c:spPr>
            <a:solidFill>
              <a:srgbClr val="707271"/>
            </a:solidFill>
            <a:ln>
              <a:solidFill>
                <a:srgbClr val="FFFFFF"/>
              </a:solidFill>
            </a:ln>
          </c:spPr>
          <c:invertIfNegative val="0"/>
          <c:cat>
            <c:numRef>
              <c:f>'Area VIIa demersal trawl'!$D$91:$M$91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demersal trawl'!$D$99:$M$99</c:f>
              <c:numCache>
                <c:formatCode>0%</c:formatCode>
                <c:ptCount val="10"/>
                <c:pt idx="0">
                  <c:v>0.16313101833014876</c:v>
                </c:pt>
                <c:pt idx="1">
                  <c:v>0.17533836455942456</c:v>
                </c:pt>
                <c:pt idx="2">
                  <c:v>6.188177921772104E-2</c:v>
                </c:pt>
                <c:pt idx="3">
                  <c:v>5.4731063819688765E-2</c:v>
                </c:pt>
                <c:pt idx="4">
                  <c:v>5.6474940217567202E-2</c:v>
                </c:pt>
              </c:numCache>
            </c:numRef>
          </c:val>
          <c:extLst>
            <c:ext xmlns:c16="http://schemas.microsoft.com/office/drawing/2014/chart" uri="{C3380CC4-5D6E-409C-BE32-E72D297353CC}">
              <c16:uniqueId val="{00000007-C8AE-4668-80DC-E79EE75E403D}"/>
            </c:ext>
          </c:extLst>
        </c:ser>
        <c:ser>
          <c:idx val="8"/>
          <c:order val="8"/>
          <c:tx>
            <c:strRef>
              <c:f>'Area VIIa demersal trawl'!$C$100</c:f>
              <c:strCache>
                <c:ptCount val="1"/>
                <c:pt idx="0">
                  <c:v>Queen Scallops</c:v>
                </c:pt>
              </c:strCache>
            </c:strRef>
          </c:tx>
          <c:spPr>
            <a:solidFill>
              <a:srgbClr val="51AA81"/>
            </a:solidFill>
            <a:ln>
              <a:solidFill>
                <a:srgbClr val="FFFFFF"/>
              </a:solidFill>
            </a:ln>
          </c:spPr>
          <c:invertIfNegative val="0"/>
          <c:cat>
            <c:numRef>
              <c:f>'Area VIIa demersal trawl'!$D$91:$M$91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demersal trawl'!$D$100:$M$100</c:f>
              <c:numCache>
                <c:formatCode>0%</c:formatCode>
                <c:ptCount val="10"/>
                <c:pt idx="0">
                  <c:v>0.32259537662987819</c:v>
                </c:pt>
                <c:pt idx="1">
                  <c:v>0.11232418758713179</c:v>
                </c:pt>
                <c:pt idx="3">
                  <c:v>4.8271957979587034E-2</c:v>
                </c:pt>
              </c:numCache>
            </c:numRef>
          </c:val>
          <c:extLst>
            <c:ext xmlns:c16="http://schemas.microsoft.com/office/drawing/2014/chart" uri="{C3380CC4-5D6E-409C-BE32-E72D297353CC}">
              <c16:uniqueId val="{00000008-C8AE-4668-80DC-E79EE75E403D}"/>
            </c:ext>
          </c:extLst>
        </c:ser>
        <c:ser>
          <c:idx val="9"/>
          <c:order val="9"/>
          <c:tx>
            <c:strRef>
              <c:f>'Area VIIa demersal trawl'!$C$101</c:f>
              <c:strCache>
                <c:ptCount val="1"/>
                <c:pt idx="0">
                  <c:v>Thornback Ray</c:v>
                </c:pt>
              </c:strCache>
            </c:strRef>
          </c:tx>
          <c:spPr>
            <a:solidFill>
              <a:srgbClr val="169FDB"/>
            </a:solidFill>
            <a:ln>
              <a:solidFill>
                <a:srgbClr val="FFFFFF"/>
              </a:solidFill>
            </a:ln>
          </c:spPr>
          <c:invertIfNegative val="0"/>
          <c:cat>
            <c:numRef>
              <c:f>'Area VIIa demersal trawl'!$D$91:$M$91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demersal trawl'!$D$101:$M$101</c:f>
              <c:numCache>
                <c:formatCode>0%</c:formatCode>
                <c:ptCount val="10"/>
                <c:pt idx="1">
                  <c:v>2.8402393700316105E-2</c:v>
                </c:pt>
              </c:numCache>
            </c:numRef>
          </c:val>
          <c:extLst>
            <c:ext xmlns:c16="http://schemas.microsoft.com/office/drawing/2014/chart" uri="{C3380CC4-5D6E-409C-BE32-E72D297353CC}">
              <c16:uniqueId val="{00000009-C8AE-4668-80DC-E79EE75E403D}"/>
            </c:ext>
          </c:extLst>
        </c:ser>
        <c:ser>
          <c:idx val="10"/>
          <c:order val="10"/>
          <c:tx>
            <c:strRef>
              <c:f>'Area VIIa demersal trawl'!$C$102</c:f>
              <c:strCache>
                <c:ptCount val="1"/>
                <c:pt idx="0">
                  <c:v>Others</c:v>
                </c:pt>
              </c:strCache>
            </c:strRef>
          </c:tx>
          <c:spPr>
            <a:solidFill>
              <a:srgbClr val="55585A"/>
            </a:solidFill>
            <a:ln>
              <a:solidFill>
                <a:srgbClr val="FFFFFF"/>
              </a:solidFill>
            </a:ln>
          </c:spPr>
          <c:invertIfNegative val="0"/>
          <c:cat>
            <c:numRef>
              <c:f>'Area VIIa demersal trawl'!$D$91:$M$91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'Area VIIa demersal trawl'!$D$102:$M$102</c:f>
              <c:numCache>
                <c:formatCode>0%</c:formatCode>
                <c:ptCount val="10"/>
                <c:pt idx="0">
                  <c:v>9.0597193727765868E-2</c:v>
                </c:pt>
                <c:pt idx="1">
                  <c:v>2.9773152678976875E-2</c:v>
                </c:pt>
                <c:pt idx="2">
                  <c:v>4.6064321839131686E-2</c:v>
                </c:pt>
                <c:pt idx="3">
                  <c:v>8.3375268708754322E-2</c:v>
                </c:pt>
                <c:pt idx="4">
                  <c:v>8.5458640316052936E-2</c:v>
                </c:pt>
                <c:pt idx="5">
                  <c:v>0.16216199215392238</c:v>
                </c:pt>
                <c:pt idx="6">
                  <c:v>0.13644124702720675</c:v>
                </c:pt>
                <c:pt idx="7">
                  <c:v>0.16059734785316496</c:v>
                </c:pt>
                <c:pt idx="8">
                  <c:v>0.1010782025764016</c:v>
                </c:pt>
                <c:pt idx="9">
                  <c:v>8.6206357785546181E-2</c:v>
                </c:pt>
              </c:numCache>
            </c:numRef>
          </c:val>
          <c:extLst>
            <c:ext xmlns:c16="http://schemas.microsoft.com/office/drawing/2014/chart" uri="{C3380CC4-5D6E-409C-BE32-E72D297353CC}">
              <c16:uniqueId val="{0000000A-C8AE-4668-80DC-E79EE75E403D}"/>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10m'!$K$62</c:f>
          <c:strCache>
            <c:ptCount val="1"/>
            <c:pt idx="0">
              <c:v>Average annual operating profit per vessel (£'000)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c:ext xmlns:c16="http://schemas.microsoft.com/office/drawing/2014/chart" uri="{C3380CC4-5D6E-409C-BE32-E72D297353CC}">
                <c16:uniqueId val="{00000001-DA36-4498-8EA4-C6671AFE8B91}"/>
              </c:ext>
            </c:extLst>
          </c:dPt>
          <c:dPt>
            <c:idx val="10"/>
            <c:bubble3D val="0"/>
            <c:spPr>
              <a:ln w="57150">
                <a:solidFill>
                  <a:schemeClr val="accent5"/>
                </a:solidFill>
                <a:prstDash val="sysDot"/>
              </a:ln>
            </c:spPr>
            <c:extLst>
              <c:ext xmlns:c16="http://schemas.microsoft.com/office/drawing/2014/chart" uri="{C3380CC4-5D6E-409C-BE32-E72D297353CC}">
                <c16:uniqueId val="{00000003-DA36-4498-8EA4-C6671AFE8B91}"/>
              </c:ext>
            </c:extLst>
          </c:dPt>
          <c:cat>
            <c:numRef>
              <c:f>'Low activity over 10m'!$D$2:$M$2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'Low activity over 10m'!$D$37:$N$37</c:f>
              <c:numCache>
                <c:formatCode>#,##0.0</c:formatCode>
                <c:ptCount val="11"/>
                <c:pt idx="0">
                  <c:v>-1.4</c:v>
                </c:pt>
                <c:pt idx="1">
                  <c:v>-2.2999999999999998</c:v>
                </c:pt>
                <c:pt idx="2">
                  <c:v>-4.2</c:v>
                </c:pt>
                <c:pt idx="3">
                  <c:v>-7.2</c:v>
                </c:pt>
                <c:pt idx="4">
                  <c:v>-4.3</c:v>
                </c:pt>
                <c:pt idx="5">
                  <c:v>-1.9</c:v>
                </c:pt>
                <c:pt idx="6">
                  <c:v>-4.0999999999999996</c:v>
                </c:pt>
                <c:pt idx="7">
                  <c:v>-3.4</c:v>
                </c:pt>
                <c:pt idx="8">
                  <c:v>-2.2999999999999998</c:v>
                </c:pt>
                <c:pt idx="9">
                  <c:v>1</c:v>
                </c:pt>
                <c:pt idx="10">
                  <c:v>-12.1</c:v>
                </c:pt>
              </c:numCache>
            </c:numRef>
          </c:val>
          <c:smooth val="0"/>
          <c:extLst>
            <c:ext xmlns:c16="http://schemas.microsoft.com/office/drawing/2014/chart" uri="{C3380CC4-5D6E-409C-BE32-E72D297353CC}">
              <c16:uniqueId val="{00000004-DA36-4498-8EA4-C6671AFE8B91}"/>
            </c:ext>
          </c:extLst>
        </c:ser>
        <c:dLbls>
          <c:showLegendKey val="0"/>
          <c:showVal val="0"/>
          <c:showCatName val="0"/>
          <c:showSerName val="0"/>
          <c:showPercent val="0"/>
          <c:showBubbleSize val="0"/>
        </c:dLbls>
        <c:smooth val="0"/>
        <c:axId val="131759488"/>
        <c:axId val="131761280"/>
      </c:lineChart>
      <c:catAx>
        <c:axId val="131759488"/>
        <c:scaling>
          <c:orientation val="minMax"/>
        </c:scaling>
        <c:delete val="0"/>
        <c:axPos val="b"/>
        <c:numFmt formatCode="General" sourceLinked="1"/>
        <c:majorTickMark val="out"/>
        <c:minorTickMark val="none"/>
        <c:tickLblPos val="nextTo"/>
        <c:crossAx val="131761280"/>
        <c:crosses val="autoZero"/>
        <c:auto val="1"/>
        <c:lblAlgn val="ctr"/>
        <c:lblOffset val="100"/>
        <c:noMultiLvlLbl val="0"/>
      </c:catAx>
      <c:valAx>
        <c:axId val="131761280"/>
        <c:scaling>
          <c:orientation val="minMax"/>
        </c:scaling>
        <c:delete val="0"/>
        <c:axPos val="l"/>
        <c:majorGridlines>
          <c:spPr>
            <a:ln w="3175">
              <a:prstDash val="sysDot"/>
            </a:ln>
          </c:spPr>
        </c:majorGridlines>
        <c:numFmt formatCode="#,##0.0" sourceLinked="1"/>
        <c:majorTickMark val="out"/>
        <c:minorTickMark val="none"/>
        <c:tickLblPos val="nextTo"/>
        <c:crossAx val="131759488"/>
        <c:crosses val="autoZero"/>
        <c:crossBetween val="between"/>
      </c:valAx>
    </c:plotArea>
    <c:plotVisOnly val="0"/>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over 10m'!$A$76</c:f>
          <c:strCache>
            <c:ptCount val="1"/>
            <c:pt idx="0">
              <c:v>Top 5 landed species by volume in 2020
Low activity over 10m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E87308"/>
              </a:solidFill>
              <a:ln>
                <a:solidFill>
                  <a:srgbClr val="FFFFFF"/>
                </a:solidFill>
              </a:ln>
            </c:spPr>
            <c:extLst>
              <c:ext xmlns:c16="http://schemas.microsoft.com/office/drawing/2014/chart" uri="{C3380CC4-5D6E-409C-BE32-E72D297353CC}">
                <c16:uniqueId val="{00000001-974B-4CE0-A77C-E01097EE60EB}"/>
              </c:ext>
            </c:extLst>
          </c:dPt>
          <c:dPt>
            <c:idx val="1"/>
            <c:bubble3D val="0"/>
            <c:spPr>
              <a:solidFill>
                <a:srgbClr val="2273B9"/>
              </a:solidFill>
              <a:ln>
                <a:solidFill>
                  <a:srgbClr val="FFFFFF"/>
                </a:solidFill>
              </a:ln>
            </c:spPr>
            <c:extLst>
              <c:ext xmlns:c16="http://schemas.microsoft.com/office/drawing/2014/chart" uri="{C3380CC4-5D6E-409C-BE32-E72D297353CC}">
                <c16:uniqueId val="{00000003-974B-4CE0-A77C-E01097EE60EB}"/>
              </c:ext>
            </c:extLst>
          </c:dPt>
          <c:dPt>
            <c:idx val="2"/>
            <c:bubble3D val="0"/>
            <c:spPr>
              <a:solidFill>
                <a:srgbClr val="0F9AA9"/>
              </a:solidFill>
              <a:ln>
                <a:solidFill>
                  <a:srgbClr val="FFFFFF"/>
                </a:solidFill>
              </a:ln>
            </c:spPr>
            <c:extLst>
              <c:ext xmlns:c16="http://schemas.microsoft.com/office/drawing/2014/chart" uri="{C3380CC4-5D6E-409C-BE32-E72D297353CC}">
                <c16:uniqueId val="{00000005-974B-4CE0-A77C-E01097EE60EB}"/>
              </c:ext>
            </c:extLst>
          </c:dPt>
          <c:dPt>
            <c:idx val="3"/>
            <c:bubble3D val="0"/>
            <c:spPr>
              <a:solidFill>
                <a:srgbClr val="E84A38"/>
              </a:solidFill>
              <a:ln>
                <a:solidFill>
                  <a:srgbClr val="FFFFFF"/>
                </a:solidFill>
              </a:ln>
            </c:spPr>
            <c:extLst>
              <c:ext xmlns:c16="http://schemas.microsoft.com/office/drawing/2014/chart" uri="{C3380CC4-5D6E-409C-BE32-E72D297353CC}">
                <c16:uniqueId val="{00000007-974B-4CE0-A77C-E01097EE60EB}"/>
              </c:ext>
            </c:extLst>
          </c:dPt>
          <c:dPt>
            <c:idx val="4"/>
            <c:bubble3D val="0"/>
            <c:spPr>
              <a:solidFill>
                <a:srgbClr val="FED825"/>
              </a:solidFill>
              <a:ln>
                <a:solidFill>
                  <a:srgbClr val="FFFFFF"/>
                </a:solidFill>
              </a:ln>
            </c:spPr>
            <c:extLst>
              <c:ext xmlns:c16="http://schemas.microsoft.com/office/drawing/2014/chart" uri="{C3380CC4-5D6E-409C-BE32-E72D297353CC}">
                <c16:uniqueId val="{00000009-974B-4CE0-A77C-E01097EE60EB}"/>
              </c:ext>
            </c:extLst>
          </c:dPt>
          <c:dPt>
            <c:idx val="5"/>
            <c:bubble3D val="0"/>
            <c:spPr>
              <a:solidFill>
                <a:srgbClr val="55585A"/>
              </a:solidFill>
              <a:ln>
                <a:solidFill>
                  <a:srgbClr val="FFFFFF"/>
                </a:solidFill>
              </a:ln>
            </c:spPr>
            <c:extLst>
              <c:ext xmlns:c16="http://schemas.microsoft.com/office/drawing/2014/chart" uri="{C3380CC4-5D6E-409C-BE32-E72D297353CC}">
                <c16:uniqueId val="{0000000B-974B-4CE0-A77C-E01097EE60EB}"/>
              </c:ext>
            </c:extLst>
          </c:dPt>
          <c:cat>
            <c:strRef>
              <c:f>'Low activity over 10m'!$B$77:$B$82</c:f>
              <c:strCache>
                <c:ptCount val="6"/>
                <c:pt idx="0">
                  <c:v>Scallops - 26.5%</c:v>
                </c:pt>
                <c:pt idx="1">
                  <c:v>Nephrops - 22.6%</c:v>
                </c:pt>
                <c:pt idx="2">
                  <c:v>Whelks - 8.9%</c:v>
                </c:pt>
                <c:pt idx="3">
                  <c:v>Brown Shrimps - 7.2%</c:v>
                </c:pt>
                <c:pt idx="4">
                  <c:v>Brown Crab - 6.8%</c:v>
                </c:pt>
                <c:pt idx="5">
                  <c:v>Others - 28.0%</c:v>
                </c:pt>
              </c:strCache>
            </c:strRef>
          </c:cat>
          <c:val>
            <c:numRef>
              <c:f>'Low activity over 10m'!$C$77:$C$82</c:f>
              <c:numCache>
                <c:formatCode>0.0%</c:formatCode>
                <c:ptCount val="6"/>
                <c:pt idx="0">
                  <c:v>0.26522665329490558</c:v>
                </c:pt>
                <c:pt idx="1">
                  <c:v>0.22556345748627971</c:v>
                </c:pt>
                <c:pt idx="2">
                  <c:v>8.9023909209326985E-2</c:v>
                </c:pt>
                <c:pt idx="3">
                  <c:v>7.2174362615680832E-2</c:v>
                </c:pt>
                <c:pt idx="4">
                  <c:v>6.8074172184758572E-2</c:v>
                </c:pt>
                <c:pt idx="5">
                  <c:v>0.27993744520904829</c:v>
                </c:pt>
              </c:numCache>
            </c:numRef>
          </c:val>
          <c:extLst>
            <c:ext xmlns:c16="http://schemas.microsoft.com/office/drawing/2014/chart" uri="{C3380CC4-5D6E-409C-BE32-E72D297353CC}">
              <c16:uniqueId val="{0000000C-974B-4CE0-A77C-E01097EE60EB}"/>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over 10m'!$F$76</c:f>
          <c:strCache>
            <c:ptCount val="1"/>
            <c:pt idx="0">
              <c:v>Top 5 landed species by value in 2020
Low activity over 10m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extLst>
              <c:ext xmlns:c16="http://schemas.microsoft.com/office/drawing/2014/chart" uri="{C3380CC4-5D6E-409C-BE32-E72D297353CC}">
                <c16:uniqueId val="{00000001-279E-4711-B7C3-02AC9F89F640}"/>
              </c:ext>
            </c:extLst>
          </c:dPt>
          <c:dPt>
            <c:idx val="1"/>
            <c:bubble3D val="0"/>
            <c:spPr>
              <a:solidFill>
                <a:srgbClr val="E87308"/>
              </a:solidFill>
              <a:ln>
                <a:solidFill>
                  <a:srgbClr val="FFFFFF"/>
                </a:solidFill>
              </a:ln>
            </c:spPr>
            <c:extLst>
              <c:ext xmlns:c16="http://schemas.microsoft.com/office/drawing/2014/chart" uri="{C3380CC4-5D6E-409C-BE32-E72D297353CC}">
                <c16:uniqueId val="{00000003-279E-4711-B7C3-02AC9F89F640}"/>
              </c:ext>
            </c:extLst>
          </c:dPt>
          <c:dPt>
            <c:idx val="2"/>
            <c:bubble3D val="0"/>
            <c:spPr>
              <a:solidFill>
                <a:srgbClr val="648C2E"/>
              </a:solidFill>
              <a:ln>
                <a:solidFill>
                  <a:srgbClr val="FFFFFF"/>
                </a:solidFill>
              </a:ln>
            </c:spPr>
            <c:extLst>
              <c:ext xmlns:c16="http://schemas.microsoft.com/office/drawing/2014/chart" uri="{C3380CC4-5D6E-409C-BE32-E72D297353CC}">
                <c16:uniqueId val="{00000005-279E-4711-B7C3-02AC9F89F640}"/>
              </c:ext>
            </c:extLst>
          </c:dPt>
          <c:dPt>
            <c:idx val="3"/>
            <c:bubble3D val="0"/>
            <c:spPr>
              <a:solidFill>
                <a:srgbClr val="C1D119"/>
              </a:solidFill>
              <a:ln>
                <a:solidFill>
                  <a:srgbClr val="FFFFFF"/>
                </a:solidFill>
              </a:ln>
            </c:spPr>
            <c:extLst>
              <c:ext xmlns:c16="http://schemas.microsoft.com/office/drawing/2014/chart" uri="{C3380CC4-5D6E-409C-BE32-E72D297353CC}">
                <c16:uniqueId val="{00000007-279E-4711-B7C3-02AC9F89F640}"/>
              </c:ext>
            </c:extLst>
          </c:dPt>
          <c:dPt>
            <c:idx val="4"/>
            <c:bubble3D val="0"/>
            <c:spPr>
              <a:solidFill>
                <a:srgbClr val="E84A38"/>
              </a:solidFill>
              <a:ln>
                <a:solidFill>
                  <a:srgbClr val="FFFFFF"/>
                </a:solidFill>
              </a:ln>
            </c:spPr>
            <c:extLst>
              <c:ext xmlns:c16="http://schemas.microsoft.com/office/drawing/2014/chart" uri="{C3380CC4-5D6E-409C-BE32-E72D297353CC}">
                <c16:uniqueId val="{00000009-279E-4711-B7C3-02AC9F89F640}"/>
              </c:ext>
            </c:extLst>
          </c:dPt>
          <c:dPt>
            <c:idx val="5"/>
            <c:bubble3D val="0"/>
            <c:spPr>
              <a:solidFill>
                <a:srgbClr val="55585A"/>
              </a:solidFill>
              <a:ln>
                <a:solidFill>
                  <a:srgbClr val="FFFFFF"/>
                </a:solidFill>
              </a:ln>
            </c:spPr>
            <c:extLst>
              <c:ext xmlns:c16="http://schemas.microsoft.com/office/drawing/2014/chart" uri="{C3380CC4-5D6E-409C-BE32-E72D297353CC}">
                <c16:uniqueId val="{0000000B-279E-4711-B7C3-02AC9F89F640}"/>
              </c:ext>
            </c:extLst>
          </c:dPt>
          <c:cat>
            <c:strRef>
              <c:f>'Low activity over 10m'!$G$77:$G$82</c:f>
              <c:strCache>
                <c:ptCount val="6"/>
                <c:pt idx="0">
                  <c:v>Nephrops - 25.1%</c:v>
                </c:pt>
                <c:pt idx="1">
                  <c:v>Scallops - 23.1%</c:v>
                </c:pt>
                <c:pt idx="2">
                  <c:v>Lobsters - 12.4%</c:v>
                </c:pt>
                <c:pt idx="3">
                  <c:v>Sole - 8.8%</c:v>
                </c:pt>
                <c:pt idx="4">
                  <c:v>Brown Shrimps - 6.5%</c:v>
                </c:pt>
                <c:pt idx="5">
                  <c:v>Others - 24.2%</c:v>
                </c:pt>
              </c:strCache>
            </c:strRef>
          </c:cat>
          <c:val>
            <c:numRef>
              <c:f>'Low activity over 10m'!$H$77:$H$82</c:f>
              <c:numCache>
                <c:formatCode>0.0%</c:formatCode>
                <c:ptCount val="6"/>
                <c:pt idx="0">
                  <c:v>0.25077591457880366</c:v>
                </c:pt>
                <c:pt idx="1">
                  <c:v>0.230639210447279</c:v>
                </c:pt>
                <c:pt idx="2">
                  <c:v>0.12353651255944914</c:v>
                </c:pt>
                <c:pt idx="3">
                  <c:v>8.772691884700308E-2</c:v>
                </c:pt>
                <c:pt idx="4">
                  <c:v>6.5219326923394272E-2</c:v>
                </c:pt>
                <c:pt idx="5">
                  <c:v>0.24210211664407089</c:v>
                </c:pt>
              </c:numCache>
            </c:numRef>
          </c:val>
          <c:extLst>
            <c:ext xmlns:c16="http://schemas.microsoft.com/office/drawing/2014/chart" uri="{C3380CC4-5D6E-409C-BE32-E72D297353CC}">
              <c16:uniqueId val="{0000000C-279E-4711-B7C3-02AC9F89F640}"/>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over 10m'!$K$77</c:f>
          <c:strCache>
            <c:ptCount val="1"/>
            <c:pt idx="0">
              <c:v>Top 5 landed species by value 2012-2021</c:v>
            </c:pt>
          </c:strCache>
        </c:strRef>
      </c:tx>
      <c:layout>
        <c:manualLayout>
          <c:xMode val="edge"/>
          <c:yMode val="edge"/>
          <c:x val="0.101929429986077"/>
          <c:y val="5.0759303725170903E-3"/>
        </c:manualLayout>
      </c:layout>
      <c:overlay val="0"/>
      <c:txPr>
        <a:bodyPr/>
        <a:lstStyle/>
        <a:p>
          <a:pPr>
            <a:defRPr sz="1200"/>
          </a:pPr>
          <a:endParaRPr lang="en-US"/>
        </a:p>
      </c:txPr>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'Low activity over 10m'!$C$92</c:f>
              <c:strCache>
                <c:ptCount val="1"/>
                <c:pt idx="0">
                  <c:v>Nephrops</c:v>
                </c:pt>
              </c:strCache>
            </c:strRef>
          </c:tx>
          <c:spPr>
            <a:solidFill>
              <a:srgbClr val="2273B9"/>
            </a:solidFill>
            <a:ln>
              <a:solidFill>
                <a:srgbClr val="FFFFFF"/>
              </a:solidFill>
            </a:ln>
          </c:spPr>
          <c:invertIfNegative val="0"/>
          <c:cat>
            <c:numRef>
              <c:f>'Low activity over 10m'!$D$91:$M$91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over 10m'!$D$92:$M$92</c:f>
              <c:numCache>
                <c:formatCode>0%</c:formatCode>
                <c:ptCount val="10"/>
                <c:pt idx="0">
                  <c:v>0.20343692988615078</c:v>
                </c:pt>
                <c:pt idx="1">
                  <c:v>0.18243408290724794</c:v>
                </c:pt>
                <c:pt idx="2">
                  <c:v>0.18791105648816606</c:v>
                </c:pt>
                <c:pt idx="3">
                  <c:v>0.1479101253587721</c:v>
                </c:pt>
                <c:pt idx="4">
                  <c:v>0.16784455977060977</c:v>
                </c:pt>
                <c:pt idx="5">
                  <c:v>0.24230947489617319</c:v>
                </c:pt>
                <c:pt idx="6">
                  <c:v>0.14578068724894411</c:v>
                </c:pt>
                <c:pt idx="7">
                  <c:v>0.14047492590846739</c:v>
                </c:pt>
                <c:pt idx="8">
                  <c:v>0.25077591457880366</c:v>
                </c:pt>
                <c:pt idx="9">
                  <c:v>0.31121945915425769</c:v>
                </c:pt>
              </c:numCache>
            </c:numRef>
          </c:val>
          <c:extLst>
            <c:ext xmlns:c16="http://schemas.microsoft.com/office/drawing/2014/chart" uri="{C3380CC4-5D6E-409C-BE32-E72D297353CC}">
              <c16:uniqueId val="{00000000-0CB5-447C-B86C-F34B7D4D964F}"/>
            </c:ext>
          </c:extLst>
        </c:ser>
        <c:ser>
          <c:idx val="1"/>
          <c:order val="1"/>
          <c:tx>
            <c:strRef>
              <c:f>'Low activity over 10m'!$C$93</c:f>
              <c:strCache>
                <c:ptCount val="1"/>
                <c:pt idx="0">
                  <c:v>Scallops</c:v>
                </c:pt>
              </c:strCache>
            </c:strRef>
          </c:tx>
          <c:spPr>
            <a:solidFill>
              <a:srgbClr val="E87308"/>
            </a:solidFill>
            <a:ln>
              <a:solidFill>
                <a:srgbClr val="FFFFFF"/>
              </a:solidFill>
            </a:ln>
          </c:spPr>
          <c:invertIfNegative val="0"/>
          <c:cat>
            <c:numRef>
              <c:f>'Low activity over 10m'!$D$91:$M$91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over 10m'!$D$93:$M$93</c:f>
              <c:numCache>
                <c:formatCode>0%</c:formatCode>
                <c:ptCount val="10"/>
                <c:pt idx="1">
                  <c:v>0.11018051864684249</c:v>
                </c:pt>
                <c:pt idx="2">
                  <c:v>0.11077788842554562</c:v>
                </c:pt>
                <c:pt idx="3">
                  <c:v>0.25377021699513247</c:v>
                </c:pt>
                <c:pt idx="4">
                  <c:v>4.3077963913320937E-2</c:v>
                </c:pt>
                <c:pt idx="7">
                  <c:v>9.0398081938629207E-2</c:v>
                </c:pt>
                <c:pt idx="8">
                  <c:v>0.230639210447279</c:v>
                </c:pt>
                <c:pt idx="9">
                  <c:v>0.16459358381090708</c:v>
                </c:pt>
              </c:numCache>
            </c:numRef>
          </c:val>
          <c:extLst>
            <c:ext xmlns:c16="http://schemas.microsoft.com/office/drawing/2014/chart" uri="{C3380CC4-5D6E-409C-BE32-E72D297353CC}">
              <c16:uniqueId val="{00000001-0CB5-447C-B86C-F34B7D4D964F}"/>
            </c:ext>
          </c:extLst>
        </c:ser>
        <c:ser>
          <c:idx val="2"/>
          <c:order val="2"/>
          <c:tx>
            <c:strRef>
              <c:f>'Low activity over 10m'!$C$94</c:f>
              <c:strCache>
                <c:ptCount val="1"/>
                <c:pt idx="0">
                  <c:v>Lobsters</c:v>
                </c:pt>
              </c:strCache>
            </c:strRef>
          </c:tx>
          <c:spPr>
            <a:solidFill>
              <a:srgbClr val="648C2E"/>
            </a:solidFill>
            <a:ln>
              <a:solidFill>
                <a:srgbClr val="FFFFFF"/>
              </a:solidFill>
            </a:ln>
          </c:spPr>
          <c:invertIfNegative val="0"/>
          <c:cat>
            <c:numRef>
              <c:f>'Low activity over 10m'!$D$91:$M$91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over 10m'!$D$94:$M$94</c:f>
              <c:numCache>
                <c:formatCode>0%</c:formatCode>
                <c:ptCount val="10"/>
                <c:pt idx="0">
                  <c:v>8.1012022386694138E-2</c:v>
                </c:pt>
                <c:pt idx="1">
                  <c:v>0.13093354749730893</c:v>
                </c:pt>
                <c:pt idx="2">
                  <c:v>0.11935368911297346</c:v>
                </c:pt>
                <c:pt idx="3">
                  <c:v>0.17189958457712481</c:v>
                </c:pt>
                <c:pt idx="4">
                  <c:v>0.18137363667063561</c:v>
                </c:pt>
                <c:pt idx="5">
                  <c:v>0.17494064662689227</c:v>
                </c:pt>
                <c:pt idx="6">
                  <c:v>0.14687566986411357</c:v>
                </c:pt>
                <c:pt idx="7">
                  <c:v>0.13849508761313536</c:v>
                </c:pt>
                <c:pt idx="8">
                  <c:v>0.12353651255944914</c:v>
                </c:pt>
                <c:pt idx="9">
                  <c:v>0.10621173207164628</c:v>
                </c:pt>
              </c:numCache>
            </c:numRef>
          </c:val>
          <c:extLst>
            <c:ext xmlns:c16="http://schemas.microsoft.com/office/drawing/2014/chart" uri="{C3380CC4-5D6E-409C-BE32-E72D297353CC}">
              <c16:uniqueId val="{00000002-0CB5-447C-B86C-F34B7D4D964F}"/>
            </c:ext>
          </c:extLst>
        </c:ser>
        <c:ser>
          <c:idx val="3"/>
          <c:order val="3"/>
          <c:tx>
            <c:strRef>
              <c:f>'Low activity over 10m'!$C$95</c:f>
              <c:strCache>
                <c:ptCount val="1"/>
                <c:pt idx="0">
                  <c:v>Sole</c:v>
                </c:pt>
              </c:strCache>
            </c:strRef>
          </c:tx>
          <c:spPr>
            <a:solidFill>
              <a:srgbClr val="C1D119"/>
            </a:solidFill>
            <a:ln>
              <a:solidFill>
                <a:srgbClr val="FFFFFF"/>
              </a:solidFill>
            </a:ln>
          </c:spPr>
          <c:invertIfNegative val="0"/>
          <c:cat>
            <c:numRef>
              <c:f>'Low activity over 10m'!$D$91:$M$91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over 10m'!$D$95:$M$95</c:f>
              <c:numCache>
                <c:formatCode>0%</c:formatCode>
                <c:ptCount val="10"/>
                <c:pt idx="0">
                  <c:v>8.5569578253825454E-2</c:v>
                </c:pt>
                <c:pt idx="1">
                  <c:v>7.6980014632669541E-2</c:v>
                </c:pt>
                <c:pt idx="2">
                  <c:v>6.9236043148250881E-2</c:v>
                </c:pt>
                <c:pt idx="3">
                  <c:v>5.2181443588873562E-2</c:v>
                </c:pt>
                <c:pt idx="4">
                  <c:v>8.9920164437015018E-2</c:v>
                </c:pt>
                <c:pt idx="8">
                  <c:v>8.772691884700308E-2</c:v>
                </c:pt>
                <c:pt idx="9">
                  <c:v>7.7262955164989683E-2</c:v>
                </c:pt>
              </c:numCache>
            </c:numRef>
          </c:val>
          <c:extLst>
            <c:ext xmlns:c16="http://schemas.microsoft.com/office/drawing/2014/chart" uri="{C3380CC4-5D6E-409C-BE32-E72D297353CC}">
              <c16:uniqueId val="{00000003-0CB5-447C-B86C-F34B7D4D964F}"/>
            </c:ext>
          </c:extLst>
        </c:ser>
        <c:ser>
          <c:idx val="4"/>
          <c:order val="4"/>
          <c:tx>
            <c:strRef>
              <c:f>'Low activity over 10m'!$C$96</c:f>
              <c:strCache>
                <c:ptCount val="1"/>
                <c:pt idx="0">
                  <c:v>Brown Shrimps</c:v>
                </c:pt>
              </c:strCache>
            </c:strRef>
          </c:tx>
          <c:spPr>
            <a:solidFill>
              <a:srgbClr val="E84A38"/>
            </a:solidFill>
            <a:ln>
              <a:solidFill>
                <a:srgbClr val="FFFFFF"/>
              </a:solidFill>
            </a:ln>
          </c:spPr>
          <c:invertIfNegative val="0"/>
          <c:cat>
            <c:numRef>
              <c:f>'Low activity over 10m'!$D$91:$M$91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over 10m'!$D$96:$M$96</c:f>
              <c:numCache>
                <c:formatCode>0%</c:formatCode>
                <c:ptCount val="10"/>
                <c:pt idx="1">
                  <c:v>6.5130747948062437E-2</c:v>
                </c:pt>
                <c:pt idx="4">
                  <c:v>0.17925240405484213</c:v>
                </c:pt>
                <c:pt idx="5">
                  <c:v>7.4399846809975176E-2</c:v>
                </c:pt>
                <c:pt idx="6">
                  <c:v>6.0882421323311765E-2</c:v>
                </c:pt>
                <c:pt idx="7">
                  <c:v>0.29065590375359041</c:v>
                </c:pt>
                <c:pt idx="8">
                  <c:v>6.5219326923394272E-2</c:v>
                </c:pt>
                <c:pt idx="9">
                  <c:v>7.2787186949945765E-2</c:v>
                </c:pt>
              </c:numCache>
            </c:numRef>
          </c:val>
          <c:extLst>
            <c:ext xmlns:c16="http://schemas.microsoft.com/office/drawing/2014/chart" uri="{C3380CC4-5D6E-409C-BE32-E72D297353CC}">
              <c16:uniqueId val="{00000004-0CB5-447C-B86C-F34B7D4D964F}"/>
            </c:ext>
          </c:extLst>
        </c:ser>
        <c:ser>
          <c:idx val="5"/>
          <c:order val="5"/>
          <c:tx>
            <c:strRef>
              <c:f>'Low activity over 10m'!$C$97</c:f>
              <c:strCache>
                <c:ptCount val="1"/>
                <c:pt idx="0">
                  <c:v>Brown Crab</c:v>
                </c:pt>
              </c:strCache>
            </c:strRef>
          </c:tx>
          <c:spPr>
            <a:solidFill>
              <a:srgbClr val="0F9AA9"/>
            </a:solidFill>
            <a:ln>
              <a:solidFill>
                <a:srgbClr val="FFFFFF"/>
              </a:solidFill>
            </a:ln>
          </c:spPr>
          <c:invertIfNegative val="0"/>
          <c:cat>
            <c:numRef>
              <c:f>'Low activity over 10m'!$D$91:$M$91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over 10m'!$D$97:$M$97</c:f>
              <c:numCache>
                <c:formatCode>0%</c:formatCode>
                <c:ptCount val="10"/>
                <c:pt idx="6">
                  <c:v>0.17880253310801256</c:v>
                </c:pt>
                <c:pt idx="7">
                  <c:v>9.4960389369965079E-2</c:v>
                </c:pt>
              </c:numCache>
            </c:numRef>
          </c:val>
          <c:extLst>
            <c:ext xmlns:c16="http://schemas.microsoft.com/office/drawing/2014/chart" uri="{C3380CC4-5D6E-409C-BE32-E72D297353CC}">
              <c16:uniqueId val="{00000005-0CB5-447C-B86C-F34B7D4D964F}"/>
            </c:ext>
          </c:extLst>
        </c:ser>
        <c:ser>
          <c:idx val="6"/>
          <c:order val="6"/>
          <c:tx>
            <c:strRef>
              <c:f>'Low activity over 10m'!$C$98</c:f>
              <c:strCache>
                <c:ptCount val="1"/>
                <c:pt idx="0">
                  <c:v>Cockles</c:v>
                </c:pt>
              </c:strCache>
            </c:strRef>
          </c:tx>
          <c:spPr>
            <a:solidFill>
              <a:srgbClr val="FED825"/>
            </a:solidFill>
            <a:ln>
              <a:solidFill>
                <a:srgbClr val="FFFFFF"/>
              </a:solidFill>
            </a:ln>
          </c:spPr>
          <c:invertIfNegative val="0"/>
          <c:cat>
            <c:numRef>
              <c:f>'Low activity over 10m'!$D$91:$M$91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over 10m'!$D$98:$M$98</c:f>
              <c:numCache>
                <c:formatCode>0%</c:formatCode>
                <c:ptCount val="10"/>
                <c:pt idx="0">
                  <c:v>7.5683303106190786E-2</c:v>
                </c:pt>
                <c:pt idx="2">
                  <c:v>9.0349804918228582E-2</c:v>
                </c:pt>
                <c:pt idx="5">
                  <c:v>7.9534628751470257E-2</c:v>
                </c:pt>
                <c:pt idx="6">
                  <c:v>7.0896790603074772E-2</c:v>
                </c:pt>
              </c:numCache>
            </c:numRef>
          </c:val>
          <c:extLst>
            <c:ext xmlns:c16="http://schemas.microsoft.com/office/drawing/2014/chart" uri="{C3380CC4-5D6E-409C-BE32-E72D297353CC}">
              <c16:uniqueId val="{00000006-0CB5-447C-B86C-F34B7D4D964F}"/>
            </c:ext>
          </c:extLst>
        </c:ser>
        <c:ser>
          <c:idx val="7"/>
          <c:order val="7"/>
          <c:tx>
            <c:strRef>
              <c:f>'Low activity over 10m'!$C$99</c:f>
              <c:strCache>
                <c:ptCount val="1"/>
                <c:pt idx="0">
                  <c:v>Whelks</c:v>
                </c:pt>
              </c:strCache>
            </c:strRef>
          </c:tx>
          <c:spPr>
            <a:solidFill>
              <a:srgbClr val="707271"/>
            </a:solidFill>
            <a:ln>
              <a:solidFill>
                <a:srgbClr val="FFFFFF"/>
              </a:solidFill>
            </a:ln>
          </c:spPr>
          <c:invertIfNegative val="0"/>
          <c:cat>
            <c:numRef>
              <c:f>'Low activity over 10m'!$D$91:$M$91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over 10m'!$D$99:$M$99</c:f>
              <c:numCache>
                <c:formatCode>0%</c:formatCode>
                <c:ptCount val="10"/>
                <c:pt idx="3">
                  <c:v>4.8595179059425599E-2</c:v>
                </c:pt>
                <c:pt idx="5">
                  <c:v>9.2857725762357651E-2</c:v>
                </c:pt>
              </c:numCache>
            </c:numRef>
          </c:val>
          <c:extLst>
            <c:ext xmlns:c16="http://schemas.microsoft.com/office/drawing/2014/chart" uri="{C3380CC4-5D6E-409C-BE32-E72D297353CC}">
              <c16:uniqueId val="{00000007-0CB5-447C-B86C-F34B7D4D964F}"/>
            </c:ext>
          </c:extLst>
        </c:ser>
        <c:ser>
          <c:idx val="8"/>
          <c:order val="8"/>
          <c:tx>
            <c:strRef>
              <c:f>'Low activity over 10m'!$C$100</c:f>
              <c:strCache>
                <c:ptCount val="1"/>
                <c:pt idx="0">
                  <c:v>Velvet Crab</c:v>
                </c:pt>
              </c:strCache>
            </c:strRef>
          </c:tx>
          <c:spPr>
            <a:solidFill>
              <a:srgbClr val="51AA81"/>
            </a:solidFill>
            <a:ln>
              <a:solidFill>
                <a:srgbClr val="FFFFFF"/>
              </a:solidFill>
            </a:ln>
          </c:spPr>
          <c:invertIfNegative val="0"/>
          <c:cat>
            <c:numRef>
              <c:f>'Low activity over 10m'!$D$91:$M$91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over 10m'!$D$100:$M$100</c:f>
              <c:numCache>
                <c:formatCode>0%</c:formatCode>
                <c:ptCount val="10"/>
                <c:pt idx="0">
                  <c:v>7.1705441267373743E-2</c:v>
                </c:pt>
              </c:numCache>
            </c:numRef>
          </c:val>
          <c:extLst>
            <c:ext xmlns:c16="http://schemas.microsoft.com/office/drawing/2014/chart" uri="{C3380CC4-5D6E-409C-BE32-E72D297353CC}">
              <c16:uniqueId val="{00000008-0CB5-447C-B86C-F34B7D4D964F}"/>
            </c:ext>
          </c:extLst>
        </c:ser>
        <c:ser>
          <c:idx val="9"/>
          <c:order val="9"/>
          <c:tx>
            <c:strRef>
              <c:f>'Low activity over 10m'!$C$101</c:f>
              <c:strCache>
                <c:ptCount val="1"/>
                <c:pt idx="0">
                  <c:v>Others</c:v>
                </c:pt>
              </c:strCache>
            </c:strRef>
          </c:tx>
          <c:spPr>
            <a:solidFill>
              <a:srgbClr val="55585A"/>
            </a:solidFill>
            <a:ln>
              <a:solidFill>
                <a:srgbClr val="FFFFFF"/>
              </a:solidFill>
            </a:ln>
          </c:spPr>
          <c:invertIfNegative val="0"/>
          <c:cat>
            <c:numRef>
              <c:f>'Low activity over 10m'!$D$91:$M$91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'Low activity over 10m'!$D$101:$M$101</c:f>
              <c:numCache>
                <c:formatCode>0%</c:formatCode>
                <c:ptCount val="10"/>
                <c:pt idx="0">
                  <c:v>0.48259272509976509</c:v>
                </c:pt>
                <c:pt idx="1">
                  <c:v>0.43434108836786867</c:v>
                </c:pt>
                <c:pt idx="2">
                  <c:v>0.42237151790683541</c:v>
                </c:pt>
                <c:pt idx="3">
                  <c:v>0.32564345042067144</c:v>
                </c:pt>
                <c:pt idx="4">
                  <c:v>0.33853127115357651</c:v>
                </c:pt>
                <c:pt idx="5">
                  <c:v>0.33595767715313146</c:v>
                </c:pt>
                <c:pt idx="6">
                  <c:v>0.39676189785254323</c:v>
                </c:pt>
                <c:pt idx="7">
                  <c:v>0.24501561141621256</c:v>
                </c:pt>
                <c:pt idx="8">
                  <c:v>0.24210211664407089</c:v>
                </c:pt>
                <c:pt idx="9">
                  <c:v>0.2679250828482535</c:v>
                </c:pt>
              </c:numCache>
            </c:numRef>
          </c:val>
          <c:extLst>
            <c:ext xmlns:c16="http://schemas.microsoft.com/office/drawing/2014/chart" uri="{C3380CC4-5D6E-409C-BE32-E72D297353CC}">
              <c16:uniqueId val="{00000009-0CB5-447C-B86C-F34B7D4D964F}"/>
            </c:ext>
          </c:extLst>
        </c:ser>
        <c:dLbls>
          <c:showLegendKey val="0"/>
          <c:showVal val="0"/>
          <c:showCatName val="0"/>
          <c:showSerName val="0"/>
          <c:showPercent val="0"/>
          <c:showBubbleSize val="0"/>
        </c:dLbls>
        <c:gapWidth val="150"/>
        <c:overlap val="100"/>
        <c:axId val="132115072"/>
        <c:axId val="132194688"/>
      </c:barChart>
      <c:catAx>
        <c:axId val="132115072"/>
        <c:scaling>
          <c:orientation val="minMax"/>
        </c:scaling>
        <c:delete val="0"/>
        <c:axPos val="b"/>
        <c:numFmt formatCode="General" sourceLinked="1"/>
        <c:majorTickMark val="out"/>
        <c:minorTickMark val="none"/>
        <c:tickLblPos val="nextTo"/>
        <c:crossAx val="132194688"/>
        <c:crosses val="autoZero"/>
        <c:auto val="1"/>
        <c:lblAlgn val="ctr"/>
        <c:lblOffset val="100"/>
        <c:noMultiLvlLbl val="0"/>
      </c:catAx>
      <c:valAx>
        <c:axId val="132194688"/>
        <c:scaling>
          <c:orientation val="minMax"/>
          <c:max val="1"/>
          <c:min val="0"/>
        </c:scaling>
        <c:delete val="0"/>
        <c:axPos val="l"/>
        <c:majorGridlines/>
        <c:numFmt formatCode="0%" sourceLinked="1"/>
        <c:majorTickMark val="out"/>
        <c:minorTickMark val="none"/>
        <c:tickLblPos val="nextTo"/>
        <c:crossAx val="13211507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10m'!$N$163</c:f>
          <c:strCache>
            <c:ptCount val="1"/>
            <c:pt idx="0">
              <c:v>Top 5 landed species by volume in 2020</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'Low activity over 10m'!$B$162</c:f>
              <c:strCache>
                <c:ptCount val="1"/>
                <c:pt idx="0">
                  <c:v>Nephrops</c:v>
                </c:pt>
              </c:strCache>
            </c:strRef>
          </c:tx>
          <c:spPr>
            <a:solidFill>
              <a:srgbClr val="2273B9"/>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10m'!$C$162:$E$162</c:f>
              <c:numCache>
                <c:formatCode>0%</c:formatCode>
                <c:ptCount val="3"/>
                <c:pt idx="0">
                  <c:v>6.0938449300881145E-2</c:v>
                </c:pt>
                <c:pt idx="1">
                  <c:v>0.31484847873428728</c:v>
                </c:pt>
                <c:pt idx="2">
                  <c:v>0.17260757626067819</c:v>
                </c:pt>
              </c:numCache>
            </c:numRef>
          </c:val>
          <c:extLst>
            <c:ext xmlns:c16="http://schemas.microsoft.com/office/drawing/2014/chart" uri="{C3380CC4-5D6E-409C-BE32-E72D297353CC}">
              <c16:uniqueId val="{00000000-6FDD-477D-B220-C73171897DD9}"/>
            </c:ext>
          </c:extLst>
        </c:ser>
        <c:ser>
          <c:idx val="1"/>
          <c:order val="1"/>
          <c:tx>
            <c:strRef>
              <c:f>'Low activity over 10m'!$B$163</c:f>
              <c:strCache>
                <c:ptCount val="1"/>
                <c:pt idx="0">
                  <c:v>Scallops</c:v>
                </c:pt>
              </c:strCache>
            </c:strRef>
          </c:tx>
          <c:spPr>
            <a:solidFill>
              <a:srgbClr val="E87308"/>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10m'!$C$163:$E$163</c:f>
              <c:numCache>
                <c:formatCode>0%</c:formatCode>
                <c:ptCount val="3"/>
                <c:pt idx="0">
                  <c:v>0.29700265695895905</c:v>
                </c:pt>
                <c:pt idx="1">
                  <c:v>0.22665026767231392</c:v>
                </c:pt>
                <c:pt idx="2">
                  <c:v>0.31834921957671186</c:v>
                </c:pt>
              </c:numCache>
            </c:numRef>
          </c:val>
          <c:extLst>
            <c:ext xmlns:c16="http://schemas.microsoft.com/office/drawing/2014/chart" uri="{C3380CC4-5D6E-409C-BE32-E72D297353CC}">
              <c16:uniqueId val="{00000001-6FDD-477D-B220-C73171897DD9}"/>
            </c:ext>
          </c:extLst>
        </c:ser>
        <c:ser>
          <c:idx val="2"/>
          <c:order val="2"/>
          <c:tx>
            <c:strRef>
              <c:f>'Low activity over 10m'!$B$164</c:f>
              <c:strCache>
                <c:ptCount val="1"/>
                <c:pt idx="0">
                  <c:v>Brown Crab</c:v>
                </c:pt>
              </c:strCache>
            </c:strRef>
          </c:tx>
          <c:spPr>
            <a:solidFill>
              <a:srgbClr val="FED825"/>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10m'!$C$164:$E$164</c:f>
              <c:numCache>
                <c:formatCode>0%</c:formatCode>
                <c:ptCount val="3"/>
                <c:pt idx="0">
                  <c:v>0</c:v>
                </c:pt>
                <c:pt idx="1">
                  <c:v>0.11210221407910448</c:v>
                </c:pt>
                <c:pt idx="2">
                  <c:v>0</c:v>
                </c:pt>
              </c:numCache>
            </c:numRef>
          </c:val>
          <c:extLst>
            <c:ext xmlns:c16="http://schemas.microsoft.com/office/drawing/2014/chart" uri="{C3380CC4-5D6E-409C-BE32-E72D297353CC}">
              <c16:uniqueId val="{00000002-6FDD-477D-B220-C73171897DD9}"/>
            </c:ext>
          </c:extLst>
        </c:ser>
        <c:ser>
          <c:idx val="3"/>
          <c:order val="3"/>
          <c:tx>
            <c:strRef>
              <c:f>'Low activity over 10m'!$B$165</c:f>
              <c:strCache>
                <c:ptCount val="1"/>
                <c:pt idx="0">
                  <c:v>Whelks</c:v>
                </c:pt>
              </c:strCache>
            </c:strRef>
          </c:tx>
          <c:spPr>
            <a:solidFill>
              <a:srgbClr val="0F9AA9"/>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10m'!$C$165:$E$165</c:f>
              <c:numCache>
                <c:formatCode>0%</c:formatCode>
                <c:ptCount val="3"/>
                <c:pt idx="0">
                  <c:v>0</c:v>
                </c:pt>
                <c:pt idx="1">
                  <c:v>8.1627227444526496E-2</c:v>
                </c:pt>
                <c:pt idx="2">
                  <c:v>0.18046525946939501</c:v>
                </c:pt>
              </c:numCache>
            </c:numRef>
          </c:val>
          <c:extLst>
            <c:ext xmlns:c16="http://schemas.microsoft.com/office/drawing/2014/chart" uri="{C3380CC4-5D6E-409C-BE32-E72D297353CC}">
              <c16:uniqueId val="{00000003-6FDD-477D-B220-C73171897DD9}"/>
            </c:ext>
          </c:extLst>
        </c:ser>
        <c:ser>
          <c:idx val="4"/>
          <c:order val="4"/>
          <c:tx>
            <c:strRef>
              <c:f>'Low activity over 10m'!$B$166</c:f>
              <c:strCache>
                <c:ptCount val="1"/>
                <c:pt idx="0">
                  <c:v>Thornback Ray</c:v>
                </c:pt>
              </c:strCache>
            </c:strRef>
          </c:tx>
          <c:spPr>
            <a:solidFill>
              <a:srgbClr val="707271"/>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10m'!$C$166:$E$166</c:f>
              <c:numCache>
                <c:formatCode>0%</c:formatCode>
                <c:ptCount val="3"/>
                <c:pt idx="0">
                  <c:v>5.4369496517407842E-2</c:v>
                </c:pt>
                <c:pt idx="1">
                  <c:v>5.3340502914702777E-2</c:v>
                </c:pt>
                <c:pt idx="2">
                  <c:v>0</c:v>
                </c:pt>
              </c:numCache>
            </c:numRef>
          </c:val>
          <c:extLst>
            <c:ext xmlns:c16="http://schemas.microsoft.com/office/drawing/2014/chart" uri="{C3380CC4-5D6E-409C-BE32-E72D297353CC}">
              <c16:uniqueId val="{00000004-6FDD-477D-B220-C73171897DD9}"/>
            </c:ext>
          </c:extLst>
        </c:ser>
        <c:ser>
          <c:idx val="5"/>
          <c:order val="5"/>
          <c:tx>
            <c:strRef>
              <c:f>'Low activity over 10m'!$B$167</c:f>
              <c:strCache>
                <c:ptCount val="1"/>
                <c:pt idx="0">
                  <c:v>Cockles</c:v>
                </c:pt>
              </c:strCache>
            </c:strRef>
          </c:tx>
          <c:spPr>
            <a:solidFill>
              <a:srgbClr val="51AA81"/>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10m'!$C$167:$E$167</c:f>
              <c:numCache>
                <c:formatCode>0%</c:formatCode>
                <c:ptCount val="3"/>
                <c:pt idx="0">
                  <c:v>0</c:v>
                </c:pt>
                <c:pt idx="1">
                  <c:v>0</c:v>
                </c:pt>
                <c:pt idx="2">
                  <c:v>0.132955740387496</c:v>
                </c:pt>
              </c:numCache>
            </c:numRef>
          </c:val>
          <c:extLst>
            <c:ext xmlns:c16="http://schemas.microsoft.com/office/drawing/2014/chart" uri="{C3380CC4-5D6E-409C-BE32-E72D297353CC}">
              <c16:uniqueId val="{00000005-6FDD-477D-B220-C73171897DD9}"/>
            </c:ext>
          </c:extLst>
        </c:ser>
        <c:ser>
          <c:idx val="6"/>
          <c:order val="6"/>
          <c:tx>
            <c:strRef>
              <c:f>'Low activity over 10m'!$B$168</c:f>
              <c:strCache>
                <c:ptCount val="1"/>
                <c:pt idx="0">
                  <c:v>Spider Crabs</c:v>
                </c:pt>
              </c:strCache>
            </c:strRef>
          </c:tx>
          <c:spPr>
            <a:solidFill>
              <a:srgbClr val="169FDB"/>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10m'!$C$168:$E$168</c:f>
              <c:numCache>
                <c:formatCode>0%</c:formatCode>
                <c:ptCount val="3"/>
                <c:pt idx="0">
                  <c:v>0</c:v>
                </c:pt>
                <c:pt idx="1">
                  <c:v>0</c:v>
                </c:pt>
                <c:pt idx="2">
                  <c:v>6.9801760533523535E-2</c:v>
                </c:pt>
              </c:numCache>
            </c:numRef>
          </c:val>
          <c:extLst>
            <c:ext xmlns:c16="http://schemas.microsoft.com/office/drawing/2014/chart" uri="{C3380CC4-5D6E-409C-BE32-E72D297353CC}">
              <c16:uniqueId val="{00000006-6FDD-477D-B220-C73171897DD9}"/>
            </c:ext>
          </c:extLst>
        </c:ser>
        <c:ser>
          <c:idx val="7"/>
          <c:order val="7"/>
          <c:tx>
            <c:strRef>
              <c:f>'Low activity over 10m'!$B$169</c:f>
              <c:strCache>
                <c:ptCount val="1"/>
                <c:pt idx="0">
                  <c:v>Brown Shrimps</c:v>
                </c:pt>
              </c:strCache>
            </c:strRef>
          </c:tx>
          <c:spPr>
            <a:solidFill>
              <a:srgbClr val="E84A38"/>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10m'!$C$169:$E$169</c:f>
              <c:numCache>
                <c:formatCode>0%</c:formatCode>
                <c:ptCount val="3"/>
                <c:pt idx="0">
                  <c:v>0.284345016374763</c:v>
                </c:pt>
                <c:pt idx="1">
                  <c:v>0</c:v>
                </c:pt>
                <c:pt idx="2">
                  <c:v>0</c:v>
                </c:pt>
              </c:numCache>
            </c:numRef>
          </c:val>
          <c:extLst>
            <c:ext xmlns:c16="http://schemas.microsoft.com/office/drawing/2014/chart" uri="{C3380CC4-5D6E-409C-BE32-E72D297353CC}">
              <c16:uniqueId val="{00000007-6FDD-477D-B220-C73171897DD9}"/>
            </c:ext>
          </c:extLst>
        </c:ser>
        <c:ser>
          <c:idx val="8"/>
          <c:order val="8"/>
          <c:tx>
            <c:strRef>
              <c:f>'Low activity over 10m'!$B$170</c:f>
              <c:strCache>
                <c:ptCount val="1"/>
                <c:pt idx="0">
                  <c:v>Sole</c:v>
                </c:pt>
              </c:strCache>
            </c:strRef>
          </c:tx>
          <c:spPr>
            <a:solidFill>
              <a:srgbClr val="C1D119"/>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10m'!$C$170:$E$170</c:f>
              <c:numCache>
                <c:formatCode>0%</c:formatCode>
                <c:ptCount val="3"/>
                <c:pt idx="0">
                  <c:v>3.1672500455073416E-2</c:v>
                </c:pt>
                <c:pt idx="1">
                  <c:v>0</c:v>
                </c:pt>
                <c:pt idx="2">
                  <c:v>0</c:v>
                </c:pt>
              </c:numCache>
            </c:numRef>
          </c:val>
          <c:extLst>
            <c:ext xmlns:c16="http://schemas.microsoft.com/office/drawing/2014/chart" uri="{C3380CC4-5D6E-409C-BE32-E72D297353CC}">
              <c16:uniqueId val="{00000008-6FDD-477D-B220-C73171897DD9}"/>
            </c:ext>
          </c:extLst>
        </c:ser>
        <c:ser>
          <c:idx val="9"/>
          <c:order val="9"/>
          <c:tx>
            <c:strRef>
              <c:f>'Low activity over 10m'!$B$171</c:f>
              <c:strCache>
                <c:ptCount val="1"/>
                <c:pt idx="0">
                  <c:v>Others</c:v>
                </c:pt>
              </c:strCache>
            </c:strRef>
          </c:tx>
          <c:spPr>
            <a:solidFill>
              <a:srgbClr val="55585A"/>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10m'!$C$171:$E$171</c:f>
              <c:numCache>
                <c:formatCode>0%</c:formatCode>
                <c:ptCount val="3"/>
                <c:pt idx="0">
                  <c:v>0.27167188039291557</c:v>
                </c:pt>
                <c:pt idx="1">
                  <c:v>0.21143130915506492</c:v>
                </c:pt>
                <c:pt idx="2">
                  <c:v>0.12582044377219537</c:v>
                </c:pt>
              </c:numCache>
            </c:numRef>
          </c:val>
          <c:extLst>
            <c:ext xmlns:c16="http://schemas.microsoft.com/office/drawing/2014/chart" uri="{C3380CC4-5D6E-409C-BE32-E72D297353CC}">
              <c16:uniqueId val="{00000009-6FDD-477D-B220-C73171897DD9}"/>
            </c:ext>
          </c:extLst>
        </c:ser>
        <c:dLbls>
          <c:showLegendKey val="0"/>
          <c:showVal val="0"/>
          <c:showCatName val="0"/>
          <c:showSerName val="0"/>
          <c:showPercent val="0"/>
          <c:showBubbleSize val="0"/>
        </c:dLbls>
        <c:gapWidth val="150"/>
        <c:overlap val="100"/>
        <c:axId val="132521344"/>
        <c:axId val="132539520"/>
      </c:barChart>
      <c:catAx>
        <c:axId val="132521344"/>
        <c:scaling>
          <c:orientation val="minMax"/>
        </c:scaling>
        <c:delete val="0"/>
        <c:axPos val="b"/>
        <c:numFmt formatCode="General" sourceLinked="0"/>
        <c:majorTickMark val="out"/>
        <c:minorTickMark val="none"/>
        <c:tickLblPos val="nextTo"/>
        <c:crossAx val="132539520"/>
        <c:crosses val="autoZero"/>
        <c:auto val="1"/>
        <c:lblAlgn val="ctr"/>
        <c:lblOffset val="100"/>
        <c:noMultiLvlLbl val="0"/>
      </c:catAx>
      <c:valAx>
        <c:axId val="132539520"/>
        <c:scaling>
          <c:orientation val="minMax"/>
          <c:max val="1"/>
          <c:min val="0"/>
        </c:scaling>
        <c:delete val="0"/>
        <c:axPos val="l"/>
        <c:majorGridlines/>
        <c:minorGridlines/>
        <c:numFmt formatCode="0%" sourceLinked="1"/>
        <c:majorTickMark val="out"/>
        <c:minorTickMark val="none"/>
        <c:tickLblPos val="nextTo"/>
        <c:crossAx val="13252134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10m'!$N$164</c:f>
          <c:strCache>
            <c:ptCount val="1"/>
            <c:pt idx="0">
              <c:v>Top 5 landed species by value in 2020</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'Low activity over 10m'!$H$162</c:f>
              <c:strCache>
                <c:ptCount val="1"/>
                <c:pt idx="0">
                  <c:v>Nephrops</c:v>
                </c:pt>
              </c:strCache>
            </c:strRef>
          </c:tx>
          <c:spPr>
            <a:solidFill>
              <a:srgbClr val="2273B9"/>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10m'!$I$162:$K$162</c:f>
              <c:numCache>
                <c:formatCode>0%</c:formatCode>
                <c:ptCount val="3"/>
                <c:pt idx="0">
                  <c:v>5.5599306260721015E-2</c:v>
                </c:pt>
                <c:pt idx="1">
                  <c:v>0.34103099221447081</c:v>
                </c:pt>
                <c:pt idx="2">
                  <c:v>0.19302536043268556</c:v>
                </c:pt>
              </c:numCache>
            </c:numRef>
          </c:val>
          <c:extLst>
            <c:ext xmlns:c16="http://schemas.microsoft.com/office/drawing/2014/chart" uri="{C3380CC4-5D6E-409C-BE32-E72D297353CC}">
              <c16:uniqueId val="{00000000-7E28-4176-8734-0EE742491FCB}"/>
            </c:ext>
          </c:extLst>
        </c:ser>
        <c:ser>
          <c:idx val="1"/>
          <c:order val="1"/>
          <c:tx>
            <c:strRef>
              <c:f>'Low activity over 10m'!$H$163</c:f>
              <c:strCache>
                <c:ptCount val="1"/>
                <c:pt idx="0">
                  <c:v>Scallops</c:v>
                </c:pt>
              </c:strCache>
            </c:strRef>
          </c:tx>
          <c:spPr>
            <a:solidFill>
              <a:srgbClr val="E87308"/>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10m'!$I$163:$K$163</c:f>
              <c:numCache>
                <c:formatCode>0%</c:formatCode>
                <c:ptCount val="3"/>
                <c:pt idx="0">
                  <c:v>0.19587027051995606</c:v>
                </c:pt>
                <c:pt idx="1">
                  <c:v>0.18796721074111439</c:v>
                </c:pt>
                <c:pt idx="2">
                  <c:v>0.32647623175679719</c:v>
                </c:pt>
              </c:numCache>
            </c:numRef>
          </c:val>
          <c:extLst>
            <c:ext xmlns:c16="http://schemas.microsoft.com/office/drawing/2014/chart" uri="{C3380CC4-5D6E-409C-BE32-E72D297353CC}">
              <c16:uniqueId val="{00000001-7E28-4176-8734-0EE742491FCB}"/>
            </c:ext>
          </c:extLst>
        </c:ser>
        <c:ser>
          <c:idx val="2"/>
          <c:order val="2"/>
          <c:tx>
            <c:strRef>
              <c:f>'Low activity over 10m'!$H$164</c:f>
              <c:strCache>
                <c:ptCount val="1"/>
                <c:pt idx="0">
                  <c:v>Lobsters</c:v>
                </c:pt>
              </c:strCache>
            </c:strRef>
          </c:tx>
          <c:spPr>
            <a:solidFill>
              <a:srgbClr val="648C2E"/>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10m'!$I$164:$K$164</c:f>
              <c:numCache>
                <c:formatCode>0%</c:formatCode>
                <c:ptCount val="3"/>
                <c:pt idx="0">
                  <c:v>6.2975776277890305E-2</c:v>
                </c:pt>
                <c:pt idx="1">
                  <c:v>0.14871824134695064</c:v>
                </c:pt>
                <c:pt idx="2">
                  <c:v>0.10509560760584113</c:v>
                </c:pt>
              </c:numCache>
            </c:numRef>
          </c:val>
          <c:extLst>
            <c:ext xmlns:c16="http://schemas.microsoft.com/office/drawing/2014/chart" uri="{C3380CC4-5D6E-409C-BE32-E72D297353CC}">
              <c16:uniqueId val="{00000002-7E28-4176-8734-0EE742491FCB}"/>
            </c:ext>
          </c:extLst>
        </c:ser>
        <c:ser>
          <c:idx val="3"/>
          <c:order val="3"/>
          <c:tx>
            <c:strRef>
              <c:f>'Low activity over 10m'!$H$165</c:f>
              <c:strCache>
                <c:ptCount val="1"/>
                <c:pt idx="0">
                  <c:v>Sole</c:v>
                </c:pt>
              </c:strCache>
            </c:strRef>
          </c:tx>
          <c:spPr>
            <a:solidFill>
              <a:srgbClr val="C1D119"/>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10m'!$I$165:$K$165</c:f>
              <c:numCache>
                <c:formatCode>0%</c:formatCode>
                <c:ptCount val="3"/>
                <c:pt idx="0">
                  <c:v>8.2297415369053481E-2</c:v>
                </c:pt>
                <c:pt idx="1">
                  <c:v>0.12236328053843813</c:v>
                </c:pt>
                <c:pt idx="2">
                  <c:v>0</c:v>
                </c:pt>
              </c:numCache>
            </c:numRef>
          </c:val>
          <c:extLst>
            <c:ext xmlns:c16="http://schemas.microsoft.com/office/drawing/2014/chart" uri="{C3380CC4-5D6E-409C-BE32-E72D297353CC}">
              <c16:uniqueId val="{00000003-7E28-4176-8734-0EE742491FCB}"/>
            </c:ext>
          </c:extLst>
        </c:ser>
        <c:ser>
          <c:idx val="4"/>
          <c:order val="4"/>
          <c:tx>
            <c:strRef>
              <c:f>'Low activity over 10m'!$H$166</c:f>
              <c:strCache>
                <c:ptCount val="1"/>
                <c:pt idx="0">
                  <c:v>Brown Crab</c:v>
                </c:pt>
              </c:strCache>
            </c:strRef>
          </c:tx>
          <c:spPr>
            <a:solidFill>
              <a:srgbClr val="FED825"/>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10m'!$I$166:$K$166</c:f>
              <c:numCache>
                <c:formatCode>0%</c:formatCode>
                <c:ptCount val="3"/>
                <c:pt idx="0">
                  <c:v>0</c:v>
                </c:pt>
                <c:pt idx="1">
                  <c:v>6.8372306690291679E-2</c:v>
                </c:pt>
                <c:pt idx="2">
                  <c:v>0</c:v>
                </c:pt>
              </c:numCache>
            </c:numRef>
          </c:val>
          <c:extLst>
            <c:ext xmlns:c16="http://schemas.microsoft.com/office/drawing/2014/chart" uri="{C3380CC4-5D6E-409C-BE32-E72D297353CC}">
              <c16:uniqueId val="{00000004-7E28-4176-8734-0EE742491FCB}"/>
            </c:ext>
          </c:extLst>
        </c:ser>
        <c:ser>
          <c:idx val="5"/>
          <c:order val="5"/>
          <c:tx>
            <c:strRef>
              <c:f>'Low activity over 10m'!$H$167</c:f>
              <c:strCache>
                <c:ptCount val="1"/>
                <c:pt idx="0">
                  <c:v>Bass</c:v>
                </c:pt>
              </c:strCache>
            </c:strRef>
          </c:tx>
          <c:spPr>
            <a:solidFill>
              <a:srgbClr val="E40D2C"/>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10m'!$I$167:$K$167</c:f>
              <c:numCache>
                <c:formatCode>0%</c:formatCode>
                <c:ptCount val="3"/>
                <c:pt idx="0">
                  <c:v>0</c:v>
                </c:pt>
                <c:pt idx="1">
                  <c:v>0</c:v>
                </c:pt>
                <c:pt idx="2">
                  <c:v>0.1857299651081144</c:v>
                </c:pt>
              </c:numCache>
            </c:numRef>
          </c:val>
          <c:extLst>
            <c:ext xmlns:c16="http://schemas.microsoft.com/office/drawing/2014/chart" uri="{C3380CC4-5D6E-409C-BE32-E72D297353CC}">
              <c16:uniqueId val="{00000005-7E28-4176-8734-0EE742491FCB}"/>
            </c:ext>
          </c:extLst>
        </c:ser>
        <c:ser>
          <c:idx val="6"/>
          <c:order val="6"/>
          <c:tx>
            <c:strRef>
              <c:f>'Low activity over 10m'!$H$168</c:f>
              <c:strCache>
                <c:ptCount val="1"/>
                <c:pt idx="0">
                  <c:v>Whelks</c:v>
                </c:pt>
              </c:strCache>
            </c:strRef>
          </c:tx>
          <c:spPr>
            <a:solidFill>
              <a:srgbClr val="0F9AA9"/>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10m'!$I$168:$K$168</c:f>
              <c:numCache>
                <c:formatCode>0%</c:formatCode>
                <c:ptCount val="3"/>
                <c:pt idx="0">
                  <c:v>0</c:v>
                </c:pt>
                <c:pt idx="1">
                  <c:v>0</c:v>
                </c:pt>
                <c:pt idx="2">
                  <c:v>9.9003031864868085E-2</c:v>
                </c:pt>
              </c:numCache>
            </c:numRef>
          </c:val>
          <c:extLst>
            <c:ext xmlns:c16="http://schemas.microsoft.com/office/drawing/2014/chart" uri="{C3380CC4-5D6E-409C-BE32-E72D297353CC}">
              <c16:uniqueId val="{00000006-7E28-4176-8734-0EE742491FCB}"/>
            </c:ext>
          </c:extLst>
        </c:ser>
        <c:ser>
          <c:idx val="7"/>
          <c:order val="7"/>
          <c:tx>
            <c:strRef>
              <c:f>'Low activity over 10m'!$H$169</c:f>
              <c:strCache>
                <c:ptCount val="1"/>
                <c:pt idx="0">
                  <c:v>Brown Shrimps</c:v>
                </c:pt>
              </c:strCache>
            </c:strRef>
          </c:tx>
          <c:spPr>
            <a:solidFill>
              <a:srgbClr val="E84A38"/>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10m'!$I$169:$K$169</c:f>
              <c:numCache>
                <c:formatCode>0%</c:formatCode>
                <c:ptCount val="3"/>
                <c:pt idx="0">
                  <c:v>0.23579408133370808</c:v>
                </c:pt>
                <c:pt idx="1">
                  <c:v>0</c:v>
                </c:pt>
                <c:pt idx="2">
                  <c:v>0</c:v>
                </c:pt>
              </c:numCache>
            </c:numRef>
          </c:val>
          <c:extLst>
            <c:ext xmlns:c16="http://schemas.microsoft.com/office/drawing/2014/chart" uri="{C3380CC4-5D6E-409C-BE32-E72D297353CC}">
              <c16:uniqueId val="{00000007-7E28-4176-8734-0EE742491FCB}"/>
            </c:ext>
          </c:extLst>
        </c:ser>
        <c:ser>
          <c:idx val="8"/>
          <c:order val="8"/>
          <c:tx>
            <c:strRef>
              <c:f>'Low activity over 10m'!$H$170</c:f>
              <c:strCache>
                <c:ptCount val="1"/>
                <c:pt idx="0">
                  <c:v>Others</c:v>
                </c:pt>
              </c:strCache>
            </c:strRef>
          </c:tx>
          <c:spPr>
            <a:solidFill>
              <a:srgbClr val="55585A"/>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10m'!$I$170:$K$170</c:f>
              <c:numCache>
                <c:formatCode>0%</c:formatCode>
                <c:ptCount val="3"/>
                <c:pt idx="0">
                  <c:v>0.36746315023867115</c:v>
                </c:pt>
                <c:pt idx="1">
                  <c:v>0.13154796846873429</c:v>
                </c:pt>
                <c:pt idx="2">
                  <c:v>9.0669803231693713E-2</c:v>
                </c:pt>
              </c:numCache>
            </c:numRef>
          </c:val>
          <c:extLst>
            <c:ext xmlns:c16="http://schemas.microsoft.com/office/drawing/2014/chart" uri="{C3380CC4-5D6E-409C-BE32-E72D297353CC}">
              <c16:uniqueId val="{00000008-7E28-4176-8734-0EE742491FCB}"/>
            </c:ext>
          </c:extLst>
        </c:ser>
        <c:dLbls>
          <c:showLegendKey val="0"/>
          <c:showVal val="0"/>
          <c:showCatName val="0"/>
          <c:showSerName val="0"/>
          <c:showPercent val="0"/>
          <c:showBubbleSize val="0"/>
        </c:dLbls>
        <c:gapWidth val="150"/>
        <c:overlap val="100"/>
        <c:axId val="135630208"/>
        <c:axId val="135734400"/>
      </c:barChart>
      <c:catAx>
        <c:axId val="135630208"/>
        <c:scaling>
          <c:orientation val="minMax"/>
        </c:scaling>
        <c:delete val="0"/>
        <c:axPos val="b"/>
        <c:numFmt formatCode="General" sourceLinked="0"/>
        <c:majorTickMark val="out"/>
        <c:minorTickMark val="none"/>
        <c:tickLblPos val="nextTo"/>
        <c:crossAx val="135734400"/>
        <c:crosses val="autoZero"/>
        <c:auto val="1"/>
        <c:lblAlgn val="ctr"/>
        <c:lblOffset val="100"/>
        <c:noMultiLvlLbl val="0"/>
      </c:catAx>
      <c:valAx>
        <c:axId val="135734400"/>
        <c:scaling>
          <c:orientation val="minMax"/>
          <c:max val="1"/>
          <c:min val="0"/>
        </c:scaling>
        <c:delete val="0"/>
        <c:axPos val="l"/>
        <c:majorGridlines/>
        <c:minorGridlines/>
        <c:numFmt formatCode="0%" sourceLinked="1"/>
        <c:majorTickMark val="out"/>
        <c:minorTickMark val="none"/>
        <c:tickLblPos val="nextTo"/>
        <c:crossAx val="1356302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10m'!$K$143</c:f>
          <c:strCache>
            <c:ptCount val="1"/>
            <c:pt idx="0">
              <c:v>Total income, operating costs and operating profit  in 2020</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'Low activity over 10m'!$K$139</c:f>
              <c:strCache>
                <c:ptCount val="1"/>
                <c:pt idx="0">
                  <c:v>Total income</c:v>
                </c:pt>
              </c:strCache>
            </c:strRef>
          </c:tx>
          <c:spPr>
            <a:solidFill>
              <a:srgbClr val="087CBB"/>
            </a:solidFill>
            <a:ln>
              <a:solidFill>
                <a:schemeClr val="accent1"/>
              </a:solidFill>
            </a:ln>
          </c:spPr>
          <c:invertIfNegative val="0"/>
          <c:cat>
            <c:strRef>
              <c:f>'Low activity over 10m'!$L$138:$N$138</c:f>
              <c:strCache>
                <c:ptCount val="3"/>
                <c:pt idx="0">
                  <c:v>Most
profitable
quartile</c:v>
                </c:pt>
                <c:pt idx="1">
                  <c:v>Middle
two quartiles</c:v>
                </c:pt>
                <c:pt idx="2">
                  <c:v>Least
profitable
quartile</c:v>
                </c:pt>
              </c:strCache>
            </c:strRef>
          </c:cat>
          <c:val>
            <c:numRef>
              <c:f>'Low activity over 10m'!$L$139:$N$139</c:f>
              <c:numCache>
                <c:formatCode>#,##0</c:formatCode>
                <c:ptCount val="3"/>
                <c:pt idx="0">
                  <c:v>4.7095180664062504</c:v>
                </c:pt>
                <c:pt idx="1">
                  <c:v>5.3456917724609401</c:v>
                </c:pt>
                <c:pt idx="2">
                  <c:v>2.6835927734374998</c:v>
                </c:pt>
              </c:numCache>
            </c:numRef>
          </c:val>
          <c:extLst>
            <c:ext xmlns:c16="http://schemas.microsoft.com/office/drawing/2014/chart" uri="{C3380CC4-5D6E-409C-BE32-E72D297353CC}">
              <c16:uniqueId val="{00000000-B749-4F7B-A17B-FB68D7A9F116}"/>
            </c:ext>
          </c:extLst>
        </c:ser>
        <c:ser>
          <c:idx val="1"/>
          <c:order val="1"/>
          <c:tx>
            <c:strRef>
              <c:f>'Low activity over 10m'!$K$140</c:f>
              <c:strCache>
                <c:ptCount val="1"/>
                <c:pt idx="0">
                  <c:v>Operating costs</c:v>
                </c:pt>
              </c:strCache>
            </c:strRef>
          </c:tx>
          <c:spPr>
            <a:solidFill>
              <a:srgbClr val="E87308"/>
            </a:solidFill>
          </c:spPr>
          <c:invertIfNegative val="0"/>
          <c:cat>
            <c:strRef>
              <c:f>'Low activity over 10m'!$L$138:$N$138</c:f>
              <c:strCache>
                <c:ptCount val="3"/>
                <c:pt idx="0">
                  <c:v>Most
profitable
quartile</c:v>
                </c:pt>
                <c:pt idx="1">
                  <c:v>Middle
two quartiles</c:v>
                </c:pt>
                <c:pt idx="2">
                  <c:v>Least
profitable
quartile</c:v>
                </c:pt>
              </c:strCache>
            </c:strRef>
          </c:cat>
          <c:val>
            <c:numRef>
              <c:f>'Low activity over 10m'!$L$140:$N$140</c:f>
              <c:numCache>
                <c:formatCode>#,##0</c:formatCode>
                <c:ptCount val="3"/>
                <c:pt idx="0">
                  <c:v>5.3985751953124996</c:v>
                </c:pt>
                <c:pt idx="1">
                  <c:v>7.4864709472656203</c:v>
                </c:pt>
                <c:pt idx="2">
                  <c:v>6.9580590820312498</c:v>
                </c:pt>
              </c:numCache>
            </c:numRef>
          </c:val>
          <c:extLst>
            <c:ext xmlns:c16="http://schemas.microsoft.com/office/drawing/2014/chart" uri="{C3380CC4-5D6E-409C-BE32-E72D297353CC}">
              <c16:uniqueId val="{00000001-B749-4F7B-A17B-FB68D7A9F116}"/>
            </c:ext>
          </c:extLst>
        </c:ser>
        <c:ser>
          <c:idx val="2"/>
          <c:order val="2"/>
          <c:tx>
            <c:strRef>
              <c:f>'Low activity over 10m'!$K$141</c:f>
              <c:strCache>
                <c:ptCount val="1"/>
                <c:pt idx="0">
                  <c:v>Operating profit</c:v>
                </c:pt>
              </c:strCache>
            </c:strRef>
          </c:tx>
          <c:spPr>
            <a:solidFill>
              <a:srgbClr val="51AA81"/>
            </a:solidFill>
          </c:spPr>
          <c:invertIfNegative val="0"/>
          <c:cat>
            <c:strRef>
              <c:f>'Low activity over 10m'!$L$138:$N$138</c:f>
              <c:strCache>
                <c:ptCount val="3"/>
                <c:pt idx="0">
                  <c:v>Most
profitable
quartile</c:v>
                </c:pt>
                <c:pt idx="1">
                  <c:v>Middle
two quartiles</c:v>
                </c:pt>
                <c:pt idx="2">
                  <c:v>Least
profitable
quartile</c:v>
                </c:pt>
              </c:strCache>
            </c:strRef>
          </c:cat>
          <c:val>
            <c:numRef>
              <c:f>'Low activity over 10m'!$L$141:$N$141</c:f>
              <c:numCache>
                <c:formatCode>#,##0</c:formatCode>
                <c:ptCount val="3"/>
                <c:pt idx="0">
                  <c:v>-0.68905712890625004</c:v>
                </c:pt>
                <c:pt idx="1">
                  <c:v>-2.14077917480469</c:v>
                </c:pt>
                <c:pt idx="2">
                  <c:v>-4.27446630859375</c:v>
                </c:pt>
              </c:numCache>
            </c:numRef>
          </c:val>
          <c:extLst>
            <c:ext xmlns:c16="http://schemas.microsoft.com/office/drawing/2014/chart" uri="{C3380CC4-5D6E-409C-BE32-E72D297353CC}">
              <c16:uniqueId val="{00000002-B749-4F7B-A17B-FB68D7A9F116}"/>
            </c:ext>
          </c:extLst>
        </c:ser>
        <c:dLbls>
          <c:showLegendKey val="0"/>
          <c:showVal val="0"/>
          <c:showCatName val="0"/>
          <c:showSerName val="0"/>
          <c:showPercent val="0"/>
          <c:showBubbleSize val="0"/>
        </c:dLbls>
        <c:gapWidth val="150"/>
        <c:axId val="135745920"/>
        <c:axId val="135747456"/>
      </c:barChart>
      <c:catAx>
        <c:axId val="135745920"/>
        <c:scaling>
          <c:orientation val="minMax"/>
        </c:scaling>
        <c:delete val="0"/>
        <c:axPos val="b"/>
        <c:numFmt formatCode="General" sourceLinked="0"/>
        <c:majorTickMark val="out"/>
        <c:minorTickMark val="none"/>
        <c:tickLblPos val="nextTo"/>
        <c:crossAx val="135747456"/>
        <c:crosses val="autoZero"/>
        <c:auto val="1"/>
        <c:lblAlgn val="ctr"/>
        <c:lblOffset val="100"/>
        <c:noMultiLvlLbl val="0"/>
      </c:catAx>
      <c:valAx>
        <c:axId val="135747456"/>
        <c:scaling>
          <c:orientation val="minMax"/>
        </c:scaling>
        <c:delete val="0"/>
        <c:axPos val="l"/>
        <c:majorGridlines/>
        <c:title>
          <c:tx>
            <c:strRef>
              <c:f>'Low activity over 10m'!$K$142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13574592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10m'!$A$48</c:f>
          <c:strCache>
            <c:ptCount val="1"/>
            <c:pt idx="0">
              <c:v>Landings per kW day at sea (kg)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2273B9"/>
              </a:solidFill>
            </a:ln>
          </c:spPr>
          <c:marker>
            <c:symbol val="none"/>
          </c:marker>
          <c:dPt>
            <c:idx val="9"/>
            <c:bubble3D val="0"/>
            <c:spPr>
              <a:ln w="57150">
                <a:solidFill>
                  <a:srgbClr val="2273B9"/>
                </a:solidFill>
                <a:prstDash val="solid"/>
              </a:ln>
            </c:spPr>
            <c:extLst>
              <c:ext xmlns:c16="http://schemas.microsoft.com/office/drawing/2014/chart" uri="{C3380CC4-5D6E-409C-BE32-E72D297353CC}">
                <c16:uniqueId val="{00000001-CF4C-4971-A34A-5C2333EC982B}"/>
              </c:ext>
            </c:extLst>
          </c:dPt>
          <c:dPt>
            <c:idx val="10"/>
            <c:bubble3D val="0"/>
            <c:spPr>
              <a:ln w="57150">
                <a:solidFill>
                  <a:srgbClr val="2273B9"/>
                </a:solidFill>
                <a:prstDash val="sysDot"/>
              </a:ln>
            </c:spPr>
            <c:extLst>
              <c:ext xmlns:c16="http://schemas.microsoft.com/office/drawing/2014/chart" uri="{C3380CC4-5D6E-409C-BE32-E72D297353CC}">
                <c16:uniqueId val="{00000003-CF4C-4971-A34A-5C2333EC982B}"/>
              </c:ext>
            </c:extLst>
          </c:dPt>
          <c:cat>
            <c:numRef>
              <c:f>'Low activity under 10m'!$D$2:$N$2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'Low activity under 10m'!$D$21:$N$21</c:f>
              <c:numCache>
                <c:formatCode>#,##0.00</c:formatCode>
                <c:ptCount val="11"/>
                <c:pt idx="0">
                  <c:v>2.0288179722484694</c:v>
                </c:pt>
                <c:pt idx="1">
                  <c:v>1.6885873937170193</c:v>
                </c:pt>
                <c:pt idx="2">
                  <c:v>1.5783058401426224</c:v>
                </c:pt>
                <c:pt idx="3">
                  <c:v>1.4114384911024449</c:v>
                </c:pt>
                <c:pt idx="4">
                  <c:v>1.2766409891640842</c:v>
                </c:pt>
                <c:pt idx="5">
                  <c:v>1.4874768848697868</c:v>
                </c:pt>
                <c:pt idx="6">
                  <c:v>1.7271306304017957</c:v>
                </c:pt>
                <c:pt idx="7">
                  <c:v>1.6990092584650811</c:v>
                </c:pt>
                <c:pt idx="8">
                  <c:v>1.6141642878633284</c:v>
                </c:pt>
                <c:pt idx="9">
                  <c:v>1.7048441353444541</c:v>
                </c:pt>
                <c:pt idx="10">
                  <c:v>1.7970080002837339</c:v>
                </c:pt>
              </c:numCache>
            </c:numRef>
          </c:val>
          <c:smooth val="0"/>
          <c:extLst>
            <c:ext xmlns:c16="http://schemas.microsoft.com/office/drawing/2014/chart" uri="{C3380CC4-5D6E-409C-BE32-E72D297353CC}">
              <c16:uniqueId val="{00000004-CF4C-4971-A34A-5C2333EC982B}"/>
            </c:ext>
          </c:extLst>
        </c:ser>
        <c:dLbls>
          <c:showLegendKey val="0"/>
          <c:showVal val="0"/>
          <c:showCatName val="0"/>
          <c:showSerName val="0"/>
          <c:showPercent val="0"/>
          <c:showBubbleSize val="0"/>
        </c:dLbls>
        <c:smooth val="0"/>
        <c:axId val="142897152"/>
        <c:axId val="142898688"/>
      </c:lineChart>
      <c:catAx>
        <c:axId val="142897152"/>
        <c:scaling>
          <c:orientation val="minMax"/>
        </c:scaling>
        <c:delete val="0"/>
        <c:axPos val="b"/>
        <c:numFmt formatCode="General" sourceLinked="1"/>
        <c:majorTickMark val="out"/>
        <c:minorTickMark val="none"/>
        <c:tickLblPos val="nextTo"/>
        <c:crossAx val="142898688"/>
        <c:crosses val="autoZero"/>
        <c:auto val="1"/>
        <c:lblAlgn val="ctr"/>
        <c:lblOffset val="100"/>
        <c:noMultiLvlLbl val="0"/>
      </c:catAx>
      <c:valAx>
        <c:axId val="142898688"/>
        <c:scaling>
          <c:orientation val="minMax"/>
        </c:scaling>
        <c:delete val="0"/>
        <c:axPos val="l"/>
        <c:majorGridlines>
          <c:spPr>
            <a:ln w="3175">
              <a:prstDash val="sysDot"/>
            </a:ln>
          </c:spPr>
        </c:majorGridlines>
        <c:numFmt formatCode="#,##0.00" sourceLinked="1"/>
        <c:majorTickMark val="out"/>
        <c:minorTickMark val="none"/>
        <c:tickLblPos val="nextTo"/>
        <c:crossAx val="142897152"/>
        <c:crosses val="autoZero"/>
        <c:crossBetween val="between"/>
      </c:valAx>
    </c:plotArea>
    <c:plotVisOnly val="0"/>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10m'!$A$49</c:f>
          <c:strCache>
            <c:ptCount val="1"/>
            <c:pt idx="0">
              <c:v>Fishing income per kW day at sea (£)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648C2E"/>
              </a:solidFill>
            </a:ln>
          </c:spPr>
          <c:marker>
            <c:symbol val="none"/>
          </c:marker>
          <c:dPt>
            <c:idx val="9"/>
            <c:bubble3D val="0"/>
            <c:spPr>
              <a:ln w="57150">
                <a:solidFill>
                  <a:srgbClr val="648C2E"/>
                </a:solidFill>
                <a:prstDash val="solid"/>
              </a:ln>
            </c:spPr>
            <c:extLst>
              <c:ext xmlns:c16="http://schemas.microsoft.com/office/drawing/2014/chart" uri="{C3380CC4-5D6E-409C-BE32-E72D297353CC}">
                <c16:uniqueId val="{00000001-7611-448E-AD51-48D5D81932F6}"/>
              </c:ext>
            </c:extLst>
          </c:dPt>
          <c:dPt>
            <c:idx val="10"/>
            <c:bubble3D val="0"/>
            <c:spPr>
              <a:ln w="57150">
                <a:solidFill>
                  <a:srgbClr val="648C2E"/>
                </a:solidFill>
                <a:prstDash val="sysDot"/>
              </a:ln>
            </c:spPr>
            <c:extLst>
              <c:ext xmlns:c16="http://schemas.microsoft.com/office/drawing/2014/chart" uri="{C3380CC4-5D6E-409C-BE32-E72D297353CC}">
                <c16:uniqueId val="{00000003-7611-448E-AD51-48D5D81932F6}"/>
              </c:ext>
            </c:extLst>
          </c:dPt>
          <c:cat>
            <c:numRef>
              <c:f>'Low activity under 10m'!$D$2:$N$2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'Low activity under 10m'!$D$22:$N$22</c:f>
              <c:numCache>
                <c:formatCode>#,##0.00</c:formatCode>
                <c:ptCount val="11"/>
                <c:pt idx="0">
                  <c:v>5.1472593642620703</c:v>
                </c:pt>
                <c:pt idx="1">
                  <c:v>4.9640257895764304</c:v>
                </c:pt>
                <c:pt idx="2">
                  <c:v>4.4819161460752799</c:v>
                </c:pt>
                <c:pt idx="3">
                  <c:v>3.5777273158445002</c:v>
                </c:pt>
                <c:pt idx="4">
                  <c:v>3.40833429861424</c:v>
                </c:pt>
                <c:pt idx="5">
                  <c:v>4.2673753799783203</c:v>
                </c:pt>
                <c:pt idx="6">
                  <c:v>5.5266000298820499</c:v>
                </c:pt>
                <c:pt idx="7">
                  <c:v>5.5009557892400398</c:v>
                </c:pt>
                <c:pt idx="8">
                  <c:v>5.23144314319042</c:v>
                </c:pt>
                <c:pt idx="9">
                  <c:v>5.0929468766717703</c:v>
                </c:pt>
                <c:pt idx="10">
                  <c:v>6.0407388575424745</c:v>
                </c:pt>
              </c:numCache>
            </c:numRef>
          </c:val>
          <c:smooth val="0"/>
          <c:extLst>
            <c:ext xmlns:c16="http://schemas.microsoft.com/office/drawing/2014/chart" uri="{C3380CC4-5D6E-409C-BE32-E72D297353CC}">
              <c16:uniqueId val="{00000004-7611-448E-AD51-48D5D81932F6}"/>
            </c:ext>
          </c:extLst>
        </c:ser>
        <c:dLbls>
          <c:showLegendKey val="0"/>
          <c:showVal val="0"/>
          <c:showCatName val="0"/>
          <c:showSerName val="0"/>
          <c:showPercent val="0"/>
          <c:showBubbleSize val="0"/>
        </c:dLbls>
        <c:smooth val="0"/>
        <c:axId val="198698880"/>
        <c:axId val="198755456"/>
      </c:lineChart>
      <c:catAx>
        <c:axId val="198698880"/>
        <c:scaling>
          <c:orientation val="minMax"/>
        </c:scaling>
        <c:delete val="0"/>
        <c:axPos val="b"/>
        <c:numFmt formatCode="General" sourceLinked="1"/>
        <c:majorTickMark val="out"/>
        <c:minorTickMark val="none"/>
        <c:tickLblPos val="nextTo"/>
        <c:crossAx val="198755456"/>
        <c:crosses val="autoZero"/>
        <c:auto val="1"/>
        <c:lblAlgn val="ctr"/>
        <c:lblOffset val="100"/>
        <c:noMultiLvlLbl val="0"/>
      </c:catAx>
      <c:valAx>
        <c:axId val="198755456"/>
        <c:scaling>
          <c:orientation val="minMax"/>
        </c:scaling>
        <c:delete val="0"/>
        <c:axPos val="l"/>
        <c:majorGridlines>
          <c:spPr>
            <a:ln w="3175">
              <a:prstDash val="sysDot"/>
            </a:ln>
          </c:spPr>
        </c:majorGridlines>
        <c:numFmt formatCode="#,##0.00" sourceLinked="1"/>
        <c:majorTickMark val="out"/>
        <c:minorTickMark val="none"/>
        <c:tickLblPos val="nextTo"/>
        <c:crossAx val="198698880"/>
        <c:crosses val="autoZero"/>
        <c:crossBetween val="between"/>
      </c:valAx>
    </c:plotArea>
    <c:plotVisOnly val="0"/>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10m'!$B$62</c:f>
          <c:strCache>
            <c:ptCount val="1"/>
            <c:pt idx="0">
              <c:v>Total cost per kW day at sea (£)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rgbClr val="087CBB"/>
              </a:solidFill>
              <a:prstDash val="solid"/>
            </a:ln>
          </c:spPr>
          <c:marker>
            <c:symbol val="none"/>
          </c:marker>
          <c:dPt>
            <c:idx val="9"/>
            <c:bubble3D val="0"/>
            <c:spPr>
              <a:ln w="57150">
                <a:solidFill>
                  <a:srgbClr val="087CBB"/>
                </a:solidFill>
                <a:prstDash val="solid"/>
              </a:ln>
            </c:spPr>
            <c:extLst>
              <c:ext xmlns:c16="http://schemas.microsoft.com/office/drawing/2014/chart" uri="{C3380CC4-5D6E-409C-BE32-E72D297353CC}">
                <c16:uniqueId val="{00000001-8D2E-4A28-B860-A58B17385DEE}"/>
              </c:ext>
            </c:extLst>
          </c:dPt>
          <c:dPt>
            <c:idx val="10"/>
            <c:bubble3D val="0"/>
            <c:spPr>
              <a:ln w="57150">
                <a:solidFill>
                  <a:srgbClr val="087CBB"/>
                </a:solidFill>
                <a:prstDash val="sysDot"/>
              </a:ln>
            </c:spPr>
            <c:extLst>
              <c:ext xmlns:c16="http://schemas.microsoft.com/office/drawing/2014/chart" uri="{C3380CC4-5D6E-409C-BE32-E72D297353CC}">
                <c16:uniqueId val="{00000003-8D2E-4A28-B860-A58B17385DEE}"/>
              </c:ext>
            </c:extLst>
          </c:dPt>
          <c:cat>
            <c:numRef>
              <c:f>'Low activity under 10m'!$D$2:$N$2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'Low activity under 10m'!$D$23:$N$23</c:f>
              <c:numCache>
                <c:formatCode>#,##0.00</c:formatCode>
                <c:ptCount val="11"/>
                <c:pt idx="0">
                  <c:v>4.3072701486801899</c:v>
                </c:pt>
                <c:pt idx="1">
                  <c:v>4.9124100782695796</c:v>
                </c:pt>
                <c:pt idx="2">
                  <c:v>5.0906427909649397</c:v>
                </c:pt>
                <c:pt idx="3">
                  <c:v>3.9478941209906702</c:v>
                </c:pt>
                <c:pt idx="4">
                  <c:v>4.1607379199647703</c:v>
                </c:pt>
                <c:pt idx="5">
                  <c:v>4.2485278991537001</c:v>
                </c:pt>
                <c:pt idx="6">
                  <c:v>4.8193941615488702</c:v>
                </c:pt>
                <c:pt idx="7">
                  <c:v>5.5351272824779798</c:v>
                </c:pt>
                <c:pt idx="8">
                  <c:v>6.47574164231008</c:v>
                </c:pt>
                <c:pt idx="9">
                  <c:v>6.8905450621212996</c:v>
                </c:pt>
                <c:pt idx="10">
                  <c:v>8.9633040175802172</c:v>
                </c:pt>
              </c:numCache>
            </c:numRef>
          </c:val>
          <c:smooth val="0"/>
          <c:extLst>
            <c:ext xmlns:c16="http://schemas.microsoft.com/office/drawing/2014/chart" uri="{C3380CC4-5D6E-409C-BE32-E72D297353CC}">
              <c16:uniqueId val="{00000004-8D2E-4A28-B860-A58B17385DEE}"/>
            </c:ext>
          </c:extLst>
        </c:ser>
        <c:dLbls>
          <c:showLegendKey val="0"/>
          <c:showVal val="0"/>
          <c:showCatName val="0"/>
          <c:showSerName val="0"/>
          <c:showPercent val="0"/>
          <c:showBubbleSize val="0"/>
        </c:dLbls>
        <c:smooth val="0"/>
        <c:axId val="281371776"/>
        <c:axId val="281686784"/>
      </c:lineChart>
      <c:catAx>
        <c:axId val="281371776"/>
        <c:scaling>
          <c:orientation val="minMax"/>
        </c:scaling>
        <c:delete val="0"/>
        <c:axPos val="b"/>
        <c:numFmt formatCode="General" sourceLinked="1"/>
        <c:majorTickMark val="out"/>
        <c:minorTickMark val="none"/>
        <c:tickLblPos val="nextTo"/>
        <c:crossAx val="281686784"/>
        <c:crosses val="autoZero"/>
        <c:auto val="1"/>
        <c:lblAlgn val="ctr"/>
        <c:lblOffset val="100"/>
        <c:noMultiLvlLbl val="0"/>
      </c:catAx>
      <c:valAx>
        <c:axId val="281686784"/>
        <c:scaling>
          <c:orientation val="minMax"/>
        </c:scaling>
        <c:delete val="0"/>
        <c:axPos val="l"/>
        <c:majorGridlines>
          <c:spPr>
            <a:ln w="3175">
              <a:prstDash val="sysDot"/>
            </a:ln>
          </c:spPr>
        </c:majorGridlines>
        <c:numFmt formatCode="#,##0.00" sourceLinked="1"/>
        <c:majorTickMark val="out"/>
        <c:minorTickMark val="none"/>
        <c:tickLblPos val="nextTo"/>
        <c:crossAx val="2813717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16.xml"/><Relationship Id="rId3" Type="http://schemas.openxmlformats.org/officeDocument/2006/relationships/chart" Target="../charts/chart111.xml"/><Relationship Id="rId7" Type="http://schemas.openxmlformats.org/officeDocument/2006/relationships/chart" Target="../charts/chart115.xml"/><Relationship Id="rId12" Type="http://schemas.openxmlformats.org/officeDocument/2006/relationships/chart" Target="../charts/chart120.xml"/><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chart" Target="../charts/chart114.xml"/><Relationship Id="rId11" Type="http://schemas.openxmlformats.org/officeDocument/2006/relationships/chart" Target="../charts/chart119.xml"/><Relationship Id="rId5" Type="http://schemas.openxmlformats.org/officeDocument/2006/relationships/chart" Target="../charts/chart113.xml"/><Relationship Id="rId10" Type="http://schemas.openxmlformats.org/officeDocument/2006/relationships/chart" Target="../charts/chart118.xml"/><Relationship Id="rId4" Type="http://schemas.openxmlformats.org/officeDocument/2006/relationships/chart" Target="../charts/chart112.xml"/><Relationship Id="rId9" Type="http://schemas.openxmlformats.org/officeDocument/2006/relationships/chart" Target="../charts/chart117.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28.xml"/><Relationship Id="rId3" Type="http://schemas.openxmlformats.org/officeDocument/2006/relationships/chart" Target="../charts/chart123.xml"/><Relationship Id="rId7" Type="http://schemas.openxmlformats.org/officeDocument/2006/relationships/chart" Target="../charts/chart127.xml"/><Relationship Id="rId12" Type="http://schemas.openxmlformats.org/officeDocument/2006/relationships/chart" Target="../charts/chart132.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11" Type="http://schemas.openxmlformats.org/officeDocument/2006/relationships/chart" Target="../charts/chart131.xml"/><Relationship Id="rId5" Type="http://schemas.openxmlformats.org/officeDocument/2006/relationships/chart" Target="../charts/chart125.xml"/><Relationship Id="rId10" Type="http://schemas.openxmlformats.org/officeDocument/2006/relationships/chart" Target="../charts/chart130.xml"/><Relationship Id="rId4" Type="http://schemas.openxmlformats.org/officeDocument/2006/relationships/chart" Target="../charts/chart124.xml"/><Relationship Id="rId9" Type="http://schemas.openxmlformats.org/officeDocument/2006/relationships/chart" Target="../charts/chart129.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40.xml"/><Relationship Id="rId3" Type="http://schemas.openxmlformats.org/officeDocument/2006/relationships/chart" Target="../charts/chart135.xml"/><Relationship Id="rId7" Type="http://schemas.openxmlformats.org/officeDocument/2006/relationships/chart" Target="../charts/chart139.xml"/><Relationship Id="rId12" Type="http://schemas.openxmlformats.org/officeDocument/2006/relationships/chart" Target="../charts/chart144.xml"/><Relationship Id="rId2" Type="http://schemas.openxmlformats.org/officeDocument/2006/relationships/chart" Target="../charts/chart134.xml"/><Relationship Id="rId1" Type="http://schemas.openxmlformats.org/officeDocument/2006/relationships/chart" Target="../charts/chart133.xml"/><Relationship Id="rId6" Type="http://schemas.openxmlformats.org/officeDocument/2006/relationships/chart" Target="../charts/chart138.xml"/><Relationship Id="rId11" Type="http://schemas.openxmlformats.org/officeDocument/2006/relationships/chart" Target="../charts/chart143.xml"/><Relationship Id="rId5" Type="http://schemas.openxmlformats.org/officeDocument/2006/relationships/chart" Target="../charts/chart137.xml"/><Relationship Id="rId10" Type="http://schemas.openxmlformats.org/officeDocument/2006/relationships/chart" Target="../charts/chart142.xml"/><Relationship Id="rId4" Type="http://schemas.openxmlformats.org/officeDocument/2006/relationships/chart" Target="../charts/chart136.xml"/><Relationship Id="rId9" Type="http://schemas.openxmlformats.org/officeDocument/2006/relationships/chart" Target="../charts/chart14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52.xml"/><Relationship Id="rId3" Type="http://schemas.openxmlformats.org/officeDocument/2006/relationships/chart" Target="../charts/chart147.xml"/><Relationship Id="rId7" Type="http://schemas.openxmlformats.org/officeDocument/2006/relationships/chart" Target="../charts/chart151.xml"/><Relationship Id="rId12" Type="http://schemas.openxmlformats.org/officeDocument/2006/relationships/chart" Target="../charts/chart156.xml"/><Relationship Id="rId2" Type="http://schemas.openxmlformats.org/officeDocument/2006/relationships/chart" Target="../charts/chart146.xml"/><Relationship Id="rId1" Type="http://schemas.openxmlformats.org/officeDocument/2006/relationships/chart" Target="../charts/chart145.xml"/><Relationship Id="rId6" Type="http://schemas.openxmlformats.org/officeDocument/2006/relationships/chart" Target="../charts/chart150.xml"/><Relationship Id="rId11" Type="http://schemas.openxmlformats.org/officeDocument/2006/relationships/chart" Target="../charts/chart155.xml"/><Relationship Id="rId5" Type="http://schemas.openxmlformats.org/officeDocument/2006/relationships/chart" Target="../charts/chart149.xml"/><Relationship Id="rId10" Type="http://schemas.openxmlformats.org/officeDocument/2006/relationships/chart" Target="../charts/chart154.xml"/><Relationship Id="rId4" Type="http://schemas.openxmlformats.org/officeDocument/2006/relationships/chart" Target="../charts/chart148.xml"/><Relationship Id="rId9" Type="http://schemas.openxmlformats.org/officeDocument/2006/relationships/chart" Target="../charts/chart153.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64.xml"/><Relationship Id="rId3" Type="http://schemas.openxmlformats.org/officeDocument/2006/relationships/chart" Target="../charts/chart159.xml"/><Relationship Id="rId7" Type="http://schemas.openxmlformats.org/officeDocument/2006/relationships/chart" Target="../charts/chart163.xml"/><Relationship Id="rId12" Type="http://schemas.openxmlformats.org/officeDocument/2006/relationships/chart" Target="../charts/chart168.xml"/><Relationship Id="rId2" Type="http://schemas.openxmlformats.org/officeDocument/2006/relationships/chart" Target="../charts/chart158.xml"/><Relationship Id="rId1" Type="http://schemas.openxmlformats.org/officeDocument/2006/relationships/chart" Target="../charts/chart157.xml"/><Relationship Id="rId6" Type="http://schemas.openxmlformats.org/officeDocument/2006/relationships/chart" Target="../charts/chart162.xml"/><Relationship Id="rId11" Type="http://schemas.openxmlformats.org/officeDocument/2006/relationships/chart" Target="../charts/chart167.xml"/><Relationship Id="rId5" Type="http://schemas.openxmlformats.org/officeDocument/2006/relationships/chart" Target="../charts/chart161.xml"/><Relationship Id="rId10" Type="http://schemas.openxmlformats.org/officeDocument/2006/relationships/chart" Target="../charts/chart166.xml"/><Relationship Id="rId4" Type="http://schemas.openxmlformats.org/officeDocument/2006/relationships/chart" Target="../charts/chart160.xml"/><Relationship Id="rId9" Type="http://schemas.openxmlformats.org/officeDocument/2006/relationships/chart" Target="../charts/chart165.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76.xml"/><Relationship Id="rId3" Type="http://schemas.openxmlformats.org/officeDocument/2006/relationships/chart" Target="../charts/chart171.xml"/><Relationship Id="rId7" Type="http://schemas.openxmlformats.org/officeDocument/2006/relationships/chart" Target="../charts/chart175.xml"/><Relationship Id="rId12" Type="http://schemas.openxmlformats.org/officeDocument/2006/relationships/chart" Target="../charts/chart180.xml"/><Relationship Id="rId2" Type="http://schemas.openxmlformats.org/officeDocument/2006/relationships/chart" Target="../charts/chart170.xml"/><Relationship Id="rId1" Type="http://schemas.openxmlformats.org/officeDocument/2006/relationships/chart" Target="../charts/chart169.xml"/><Relationship Id="rId6" Type="http://schemas.openxmlformats.org/officeDocument/2006/relationships/chart" Target="../charts/chart174.xml"/><Relationship Id="rId11" Type="http://schemas.openxmlformats.org/officeDocument/2006/relationships/chart" Target="../charts/chart179.xml"/><Relationship Id="rId5" Type="http://schemas.openxmlformats.org/officeDocument/2006/relationships/chart" Target="../charts/chart173.xml"/><Relationship Id="rId10" Type="http://schemas.openxmlformats.org/officeDocument/2006/relationships/chart" Target="../charts/chart178.xml"/><Relationship Id="rId4" Type="http://schemas.openxmlformats.org/officeDocument/2006/relationships/chart" Target="../charts/chart172.xml"/><Relationship Id="rId9" Type="http://schemas.openxmlformats.org/officeDocument/2006/relationships/chart" Target="../charts/chart17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88.xml"/><Relationship Id="rId3" Type="http://schemas.openxmlformats.org/officeDocument/2006/relationships/chart" Target="../charts/chart183.xml"/><Relationship Id="rId7" Type="http://schemas.openxmlformats.org/officeDocument/2006/relationships/chart" Target="../charts/chart187.xml"/><Relationship Id="rId12" Type="http://schemas.openxmlformats.org/officeDocument/2006/relationships/chart" Target="../charts/chart192.xml"/><Relationship Id="rId2" Type="http://schemas.openxmlformats.org/officeDocument/2006/relationships/chart" Target="../charts/chart182.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5" Type="http://schemas.openxmlformats.org/officeDocument/2006/relationships/chart" Target="../charts/chart185.xml"/><Relationship Id="rId10" Type="http://schemas.openxmlformats.org/officeDocument/2006/relationships/chart" Target="../charts/chart190.xml"/><Relationship Id="rId4" Type="http://schemas.openxmlformats.org/officeDocument/2006/relationships/chart" Target="../charts/chart184.xml"/><Relationship Id="rId9" Type="http://schemas.openxmlformats.org/officeDocument/2006/relationships/chart" Target="../charts/chart189.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200.xml"/><Relationship Id="rId3" Type="http://schemas.openxmlformats.org/officeDocument/2006/relationships/chart" Target="../charts/chart195.xml"/><Relationship Id="rId7" Type="http://schemas.openxmlformats.org/officeDocument/2006/relationships/chart" Target="../charts/chart199.xml"/><Relationship Id="rId12" Type="http://schemas.openxmlformats.org/officeDocument/2006/relationships/chart" Target="../charts/chart204.xml"/><Relationship Id="rId2" Type="http://schemas.openxmlformats.org/officeDocument/2006/relationships/chart" Target="../charts/chart194.xml"/><Relationship Id="rId1" Type="http://schemas.openxmlformats.org/officeDocument/2006/relationships/chart" Target="../charts/chart193.xml"/><Relationship Id="rId6" Type="http://schemas.openxmlformats.org/officeDocument/2006/relationships/chart" Target="../charts/chart198.xml"/><Relationship Id="rId11" Type="http://schemas.openxmlformats.org/officeDocument/2006/relationships/chart" Target="../charts/chart203.xml"/><Relationship Id="rId5" Type="http://schemas.openxmlformats.org/officeDocument/2006/relationships/chart" Target="../charts/chart197.xml"/><Relationship Id="rId10" Type="http://schemas.openxmlformats.org/officeDocument/2006/relationships/chart" Target="../charts/chart202.xml"/><Relationship Id="rId4" Type="http://schemas.openxmlformats.org/officeDocument/2006/relationships/chart" Target="../charts/chart196.xml"/><Relationship Id="rId9" Type="http://schemas.openxmlformats.org/officeDocument/2006/relationships/chart" Target="../charts/chart201.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212.xml"/><Relationship Id="rId3" Type="http://schemas.openxmlformats.org/officeDocument/2006/relationships/chart" Target="../charts/chart207.xml"/><Relationship Id="rId7" Type="http://schemas.openxmlformats.org/officeDocument/2006/relationships/chart" Target="../charts/chart211.xml"/><Relationship Id="rId12" Type="http://schemas.openxmlformats.org/officeDocument/2006/relationships/chart" Target="../charts/chart216.xml"/><Relationship Id="rId2" Type="http://schemas.openxmlformats.org/officeDocument/2006/relationships/chart" Target="../charts/chart206.xml"/><Relationship Id="rId1" Type="http://schemas.openxmlformats.org/officeDocument/2006/relationships/chart" Target="../charts/chart205.xml"/><Relationship Id="rId6" Type="http://schemas.openxmlformats.org/officeDocument/2006/relationships/chart" Target="../charts/chart210.xml"/><Relationship Id="rId11" Type="http://schemas.openxmlformats.org/officeDocument/2006/relationships/chart" Target="../charts/chart215.xml"/><Relationship Id="rId5" Type="http://schemas.openxmlformats.org/officeDocument/2006/relationships/chart" Target="../charts/chart209.xml"/><Relationship Id="rId10" Type="http://schemas.openxmlformats.org/officeDocument/2006/relationships/chart" Target="../charts/chart214.xml"/><Relationship Id="rId4" Type="http://schemas.openxmlformats.org/officeDocument/2006/relationships/chart" Target="../charts/chart208.xml"/><Relationship Id="rId9" Type="http://schemas.openxmlformats.org/officeDocument/2006/relationships/chart" Target="../charts/chart21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24.xml"/><Relationship Id="rId3" Type="http://schemas.openxmlformats.org/officeDocument/2006/relationships/chart" Target="../charts/chart219.xml"/><Relationship Id="rId7" Type="http://schemas.openxmlformats.org/officeDocument/2006/relationships/chart" Target="../charts/chart223.xml"/><Relationship Id="rId12" Type="http://schemas.openxmlformats.org/officeDocument/2006/relationships/chart" Target="../charts/chart228.xml"/><Relationship Id="rId2" Type="http://schemas.openxmlformats.org/officeDocument/2006/relationships/chart" Target="../charts/chart218.xml"/><Relationship Id="rId1" Type="http://schemas.openxmlformats.org/officeDocument/2006/relationships/chart" Target="../charts/chart217.xml"/><Relationship Id="rId6" Type="http://schemas.openxmlformats.org/officeDocument/2006/relationships/chart" Target="../charts/chart222.xml"/><Relationship Id="rId11" Type="http://schemas.openxmlformats.org/officeDocument/2006/relationships/chart" Target="../charts/chart227.xml"/><Relationship Id="rId5" Type="http://schemas.openxmlformats.org/officeDocument/2006/relationships/chart" Target="../charts/chart221.xml"/><Relationship Id="rId10" Type="http://schemas.openxmlformats.org/officeDocument/2006/relationships/chart" Target="../charts/chart226.xml"/><Relationship Id="rId4" Type="http://schemas.openxmlformats.org/officeDocument/2006/relationships/chart" Target="../charts/chart220.xml"/><Relationship Id="rId9" Type="http://schemas.openxmlformats.org/officeDocument/2006/relationships/chart" Target="../charts/chart225.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36.xml"/><Relationship Id="rId3" Type="http://schemas.openxmlformats.org/officeDocument/2006/relationships/chart" Target="../charts/chart231.xml"/><Relationship Id="rId7" Type="http://schemas.openxmlformats.org/officeDocument/2006/relationships/chart" Target="../charts/chart235.xml"/><Relationship Id="rId12" Type="http://schemas.openxmlformats.org/officeDocument/2006/relationships/chart" Target="../charts/chart240.xml"/><Relationship Id="rId2" Type="http://schemas.openxmlformats.org/officeDocument/2006/relationships/chart" Target="../charts/chart230.xml"/><Relationship Id="rId1" Type="http://schemas.openxmlformats.org/officeDocument/2006/relationships/chart" Target="../charts/chart229.xml"/><Relationship Id="rId6" Type="http://schemas.openxmlformats.org/officeDocument/2006/relationships/chart" Target="../charts/chart234.xml"/><Relationship Id="rId11" Type="http://schemas.openxmlformats.org/officeDocument/2006/relationships/chart" Target="../charts/chart239.xml"/><Relationship Id="rId5" Type="http://schemas.openxmlformats.org/officeDocument/2006/relationships/chart" Target="../charts/chart233.xml"/><Relationship Id="rId10" Type="http://schemas.openxmlformats.org/officeDocument/2006/relationships/chart" Target="../charts/chart238.xml"/><Relationship Id="rId4" Type="http://schemas.openxmlformats.org/officeDocument/2006/relationships/chart" Target="../charts/chart232.xml"/><Relationship Id="rId9" Type="http://schemas.openxmlformats.org/officeDocument/2006/relationships/chart" Target="../charts/chart237.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48.xml"/><Relationship Id="rId3" Type="http://schemas.openxmlformats.org/officeDocument/2006/relationships/chart" Target="../charts/chart243.xml"/><Relationship Id="rId7" Type="http://schemas.openxmlformats.org/officeDocument/2006/relationships/chart" Target="../charts/chart247.xml"/><Relationship Id="rId12" Type="http://schemas.openxmlformats.org/officeDocument/2006/relationships/chart" Target="../charts/chart252.xml"/><Relationship Id="rId2" Type="http://schemas.openxmlformats.org/officeDocument/2006/relationships/chart" Target="../charts/chart242.xml"/><Relationship Id="rId1" Type="http://schemas.openxmlformats.org/officeDocument/2006/relationships/chart" Target="../charts/chart241.xml"/><Relationship Id="rId6" Type="http://schemas.openxmlformats.org/officeDocument/2006/relationships/chart" Target="../charts/chart246.xml"/><Relationship Id="rId11" Type="http://schemas.openxmlformats.org/officeDocument/2006/relationships/chart" Target="../charts/chart251.xml"/><Relationship Id="rId5" Type="http://schemas.openxmlformats.org/officeDocument/2006/relationships/chart" Target="../charts/chart245.xml"/><Relationship Id="rId10" Type="http://schemas.openxmlformats.org/officeDocument/2006/relationships/chart" Target="../charts/chart250.xml"/><Relationship Id="rId4" Type="http://schemas.openxmlformats.org/officeDocument/2006/relationships/chart" Target="../charts/chart244.xml"/><Relationship Id="rId9" Type="http://schemas.openxmlformats.org/officeDocument/2006/relationships/chart" Target="../charts/chart249.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260.xml"/><Relationship Id="rId3" Type="http://schemas.openxmlformats.org/officeDocument/2006/relationships/chart" Target="../charts/chart255.xml"/><Relationship Id="rId7" Type="http://schemas.openxmlformats.org/officeDocument/2006/relationships/chart" Target="../charts/chart259.xml"/><Relationship Id="rId12" Type="http://schemas.openxmlformats.org/officeDocument/2006/relationships/chart" Target="../charts/chart264.xml"/><Relationship Id="rId2" Type="http://schemas.openxmlformats.org/officeDocument/2006/relationships/chart" Target="../charts/chart254.xml"/><Relationship Id="rId1" Type="http://schemas.openxmlformats.org/officeDocument/2006/relationships/chart" Target="../charts/chart253.xml"/><Relationship Id="rId6" Type="http://schemas.openxmlformats.org/officeDocument/2006/relationships/chart" Target="../charts/chart258.xml"/><Relationship Id="rId11" Type="http://schemas.openxmlformats.org/officeDocument/2006/relationships/chart" Target="../charts/chart263.xml"/><Relationship Id="rId5" Type="http://schemas.openxmlformats.org/officeDocument/2006/relationships/chart" Target="../charts/chart257.xml"/><Relationship Id="rId10" Type="http://schemas.openxmlformats.org/officeDocument/2006/relationships/chart" Target="../charts/chart262.xml"/><Relationship Id="rId4" Type="http://schemas.openxmlformats.org/officeDocument/2006/relationships/chart" Target="../charts/chart256.xml"/><Relationship Id="rId9" Type="http://schemas.openxmlformats.org/officeDocument/2006/relationships/chart" Target="../charts/chart261.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272.xml"/><Relationship Id="rId3" Type="http://schemas.openxmlformats.org/officeDocument/2006/relationships/chart" Target="../charts/chart267.xml"/><Relationship Id="rId7" Type="http://schemas.openxmlformats.org/officeDocument/2006/relationships/chart" Target="../charts/chart271.xml"/><Relationship Id="rId12" Type="http://schemas.openxmlformats.org/officeDocument/2006/relationships/chart" Target="../charts/chart276.xml"/><Relationship Id="rId2" Type="http://schemas.openxmlformats.org/officeDocument/2006/relationships/chart" Target="../charts/chart266.xml"/><Relationship Id="rId1" Type="http://schemas.openxmlformats.org/officeDocument/2006/relationships/chart" Target="../charts/chart265.xml"/><Relationship Id="rId6" Type="http://schemas.openxmlformats.org/officeDocument/2006/relationships/chart" Target="../charts/chart270.xml"/><Relationship Id="rId11" Type="http://schemas.openxmlformats.org/officeDocument/2006/relationships/chart" Target="../charts/chart275.xml"/><Relationship Id="rId5" Type="http://schemas.openxmlformats.org/officeDocument/2006/relationships/chart" Target="../charts/chart269.xml"/><Relationship Id="rId10" Type="http://schemas.openxmlformats.org/officeDocument/2006/relationships/chart" Target="../charts/chart274.xml"/><Relationship Id="rId4" Type="http://schemas.openxmlformats.org/officeDocument/2006/relationships/chart" Target="../charts/chart268.xml"/><Relationship Id="rId9" Type="http://schemas.openxmlformats.org/officeDocument/2006/relationships/chart" Target="../charts/chart273.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284.xml"/><Relationship Id="rId3" Type="http://schemas.openxmlformats.org/officeDocument/2006/relationships/chart" Target="../charts/chart279.xml"/><Relationship Id="rId7" Type="http://schemas.openxmlformats.org/officeDocument/2006/relationships/chart" Target="../charts/chart283.xml"/><Relationship Id="rId12" Type="http://schemas.openxmlformats.org/officeDocument/2006/relationships/chart" Target="../charts/chart288.xml"/><Relationship Id="rId2" Type="http://schemas.openxmlformats.org/officeDocument/2006/relationships/chart" Target="../charts/chart278.xml"/><Relationship Id="rId1" Type="http://schemas.openxmlformats.org/officeDocument/2006/relationships/chart" Target="../charts/chart277.xml"/><Relationship Id="rId6" Type="http://schemas.openxmlformats.org/officeDocument/2006/relationships/chart" Target="../charts/chart282.xml"/><Relationship Id="rId11" Type="http://schemas.openxmlformats.org/officeDocument/2006/relationships/chart" Target="../charts/chart287.xml"/><Relationship Id="rId5" Type="http://schemas.openxmlformats.org/officeDocument/2006/relationships/chart" Target="../charts/chart281.xml"/><Relationship Id="rId10" Type="http://schemas.openxmlformats.org/officeDocument/2006/relationships/chart" Target="../charts/chart286.xml"/><Relationship Id="rId4" Type="http://schemas.openxmlformats.org/officeDocument/2006/relationships/chart" Target="../charts/chart280.xml"/><Relationship Id="rId9" Type="http://schemas.openxmlformats.org/officeDocument/2006/relationships/chart" Target="../charts/chart285.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296.xml"/><Relationship Id="rId3" Type="http://schemas.openxmlformats.org/officeDocument/2006/relationships/chart" Target="../charts/chart291.xml"/><Relationship Id="rId7" Type="http://schemas.openxmlformats.org/officeDocument/2006/relationships/chart" Target="../charts/chart295.xml"/><Relationship Id="rId12" Type="http://schemas.openxmlformats.org/officeDocument/2006/relationships/chart" Target="../charts/chart300.xml"/><Relationship Id="rId2" Type="http://schemas.openxmlformats.org/officeDocument/2006/relationships/chart" Target="../charts/chart290.xml"/><Relationship Id="rId1" Type="http://schemas.openxmlformats.org/officeDocument/2006/relationships/chart" Target="../charts/chart289.xml"/><Relationship Id="rId6" Type="http://schemas.openxmlformats.org/officeDocument/2006/relationships/chart" Target="../charts/chart294.xml"/><Relationship Id="rId11" Type="http://schemas.openxmlformats.org/officeDocument/2006/relationships/chart" Target="../charts/chart299.xml"/><Relationship Id="rId5" Type="http://schemas.openxmlformats.org/officeDocument/2006/relationships/chart" Target="../charts/chart293.xml"/><Relationship Id="rId10" Type="http://schemas.openxmlformats.org/officeDocument/2006/relationships/chart" Target="../charts/chart298.xml"/><Relationship Id="rId4" Type="http://schemas.openxmlformats.org/officeDocument/2006/relationships/chart" Target="../charts/chart292.xml"/><Relationship Id="rId9" Type="http://schemas.openxmlformats.org/officeDocument/2006/relationships/chart" Target="../charts/chart297.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308.xml"/><Relationship Id="rId3" Type="http://schemas.openxmlformats.org/officeDocument/2006/relationships/chart" Target="../charts/chart303.xml"/><Relationship Id="rId7" Type="http://schemas.openxmlformats.org/officeDocument/2006/relationships/chart" Target="../charts/chart307.xml"/><Relationship Id="rId12" Type="http://schemas.openxmlformats.org/officeDocument/2006/relationships/chart" Target="../charts/chart312.xml"/><Relationship Id="rId2" Type="http://schemas.openxmlformats.org/officeDocument/2006/relationships/chart" Target="../charts/chart302.xml"/><Relationship Id="rId1" Type="http://schemas.openxmlformats.org/officeDocument/2006/relationships/chart" Target="../charts/chart301.xml"/><Relationship Id="rId6" Type="http://schemas.openxmlformats.org/officeDocument/2006/relationships/chart" Target="../charts/chart306.xml"/><Relationship Id="rId11" Type="http://schemas.openxmlformats.org/officeDocument/2006/relationships/chart" Target="../charts/chart311.xml"/><Relationship Id="rId5" Type="http://schemas.openxmlformats.org/officeDocument/2006/relationships/chart" Target="../charts/chart305.xml"/><Relationship Id="rId10" Type="http://schemas.openxmlformats.org/officeDocument/2006/relationships/chart" Target="../charts/chart310.xml"/><Relationship Id="rId4" Type="http://schemas.openxmlformats.org/officeDocument/2006/relationships/chart" Target="../charts/chart304.xml"/><Relationship Id="rId9" Type="http://schemas.openxmlformats.org/officeDocument/2006/relationships/chart" Target="../charts/chart309.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320.xml"/><Relationship Id="rId3" Type="http://schemas.openxmlformats.org/officeDocument/2006/relationships/chart" Target="../charts/chart315.xml"/><Relationship Id="rId7" Type="http://schemas.openxmlformats.org/officeDocument/2006/relationships/chart" Target="../charts/chart319.xml"/><Relationship Id="rId12" Type="http://schemas.openxmlformats.org/officeDocument/2006/relationships/chart" Target="../charts/chart324.xml"/><Relationship Id="rId2" Type="http://schemas.openxmlformats.org/officeDocument/2006/relationships/chart" Target="../charts/chart314.xml"/><Relationship Id="rId1" Type="http://schemas.openxmlformats.org/officeDocument/2006/relationships/chart" Target="../charts/chart313.xml"/><Relationship Id="rId6" Type="http://schemas.openxmlformats.org/officeDocument/2006/relationships/chart" Target="../charts/chart318.xml"/><Relationship Id="rId11" Type="http://schemas.openxmlformats.org/officeDocument/2006/relationships/chart" Target="../charts/chart323.xml"/><Relationship Id="rId5" Type="http://schemas.openxmlformats.org/officeDocument/2006/relationships/chart" Target="../charts/chart317.xml"/><Relationship Id="rId10" Type="http://schemas.openxmlformats.org/officeDocument/2006/relationships/chart" Target="../charts/chart322.xml"/><Relationship Id="rId4" Type="http://schemas.openxmlformats.org/officeDocument/2006/relationships/chart" Target="../charts/chart316.xml"/><Relationship Id="rId9" Type="http://schemas.openxmlformats.org/officeDocument/2006/relationships/chart" Target="../charts/chart321.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332.xml"/><Relationship Id="rId3" Type="http://schemas.openxmlformats.org/officeDocument/2006/relationships/chart" Target="../charts/chart327.xml"/><Relationship Id="rId7" Type="http://schemas.openxmlformats.org/officeDocument/2006/relationships/chart" Target="../charts/chart331.xml"/><Relationship Id="rId12" Type="http://schemas.openxmlformats.org/officeDocument/2006/relationships/chart" Target="../charts/chart336.xml"/><Relationship Id="rId2" Type="http://schemas.openxmlformats.org/officeDocument/2006/relationships/chart" Target="../charts/chart326.xml"/><Relationship Id="rId1" Type="http://schemas.openxmlformats.org/officeDocument/2006/relationships/chart" Target="../charts/chart325.xml"/><Relationship Id="rId6" Type="http://schemas.openxmlformats.org/officeDocument/2006/relationships/chart" Target="../charts/chart330.xml"/><Relationship Id="rId11" Type="http://schemas.openxmlformats.org/officeDocument/2006/relationships/chart" Target="../charts/chart335.xml"/><Relationship Id="rId5" Type="http://schemas.openxmlformats.org/officeDocument/2006/relationships/chart" Target="../charts/chart329.xml"/><Relationship Id="rId10" Type="http://schemas.openxmlformats.org/officeDocument/2006/relationships/chart" Target="../charts/chart334.xml"/><Relationship Id="rId4" Type="http://schemas.openxmlformats.org/officeDocument/2006/relationships/chart" Target="../charts/chart328.xml"/><Relationship Id="rId9" Type="http://schemas.openxmlformats.org/officeDocument/2006/relationships/chart" Target="../charts/chart333.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344.xml"/><Relationship Id="rId3" Type="http://schemas.openxmlformats.org/officeDocument/2006/relationships/chart" Target="../charts/chart339.xml"/><Relationship Id="rId7" Type="http://schemas.openxmlformats.org/officeDocument/2006/relationships/chart" Target="../charts/chart343.xml"/><Relationship Id="rId12" Type="http://schemas.openxmlformats.org/officeDocument/2006/relationships/chart" Target="../charts/chart348.xml"/><Relationship Id="rId2" Type="http://schemas.openxmlformats.org/officeDocument/2006/relationships/chart" Target="../charts/chart338.xml"/><Relationship Id="rId1" Type="http://schemas.openxmlformats.org/officeDocument/2006/relationships/chart" Target="../charts/chart337.xml"/><Relationship Id="rId6" Type="http://schemas.openxmlformats.org/officeDocument/2006/relationships/chart" Target="../charts/chart342.xml"/><Relationship Id="rId11" Type="http://schemas.openxmlformats.org/officeDocument/2006/relationships/chart" Target="../charts/chart347.xml"/><Relationship Id="rId5" Type="http://schemas.openxmlformats.org/officeDocument/2006/relationships/chart" Target="../charts/chart341.xml"/><Relationship Id="rId10" Type="http://schemas.openxmlformats.org/officeDocument/2006/relationships/chart" Target="../charts/chart346.xml"/><Relationship Id="rId4" Type="http://schemas.openxmlformats.org/officeDocument/2006/relationships/chart" Target="../charts/chart340.xml"/><Relationship Id="rId9" Type="http://schemas.openxmlformats.org/officeDocument/2006/relationships/chart" Target="../charts/chart34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12" Type="http://schemas.openxmlformats.org/officeDocument/2006/relationships/chart" Target="../charts/chart36.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0" Type="http://schemas.openxmlformats.org/officeDocument/2006/relationships/chart" Target="../charts/chart34.xml"/><Relationship Id="rId4" Type="http://schemas.openxmlformats.org/officeDocument/2006/relationships/chart" Target="../charts/chart28.xml"/><Relationship Id="rId9" Type="http://schemas.openxmlformats.org/officeDocument/2006/relationships/chart" Target="../charts/chart33.xml"/></Relationships>
</file>

<file path=xl/drawings/_rels/drawing30.xml.rels><?xml version="1.0" encoding="UTF-8" standalone="yes"?>
<Relationships xmlns="http://schemas.openxmlformats.org/package/2006/relationships"><Relationship Id="rId8" Type="http://schemas.openxmlformats.org/officeDocument/2006/relationships/chart" Target="../charts/chart356.xml"/><Relationship Id="rId3" Type="http://schemas.openxmlformats.org/officeDocument/2006/relationships/chart" Target="../charts/chart351.xml"/><Relationship Id="rId7" Type="http://schemas.openxmlformats.org/officeDocument/2006/relationships/chart" Target="../charts/chart355.xml"/><Relationship Id="rId12" Type="http://schemas.openxmlformats.org/officeDocument/2006/relationships/chart" Target="../charts/chart360.xml"/><Relationship Id="rId2" Type="http://schemas.openxmlformats.org/officeDocument/2006/relationships/chart" Target="../charts/chart350.xml"/><Relationship Id="rId1" Type="http://schemas.openxmlformats.org/officeDocument/2006/relationships/chart" Target="../charts/chart349.xml"/><Relationship Id="rId6" Type="http://schemas.openxmlformats.org/officeDocument/2006/relationships/chart" Target="../charts/chart354.xml"/><Relationship Id="rId11" Type="http://schemas.openxmlformats.org/officeDocument/2006/relationships/chart" Target="../charts/chart359.xml"/><Relationship Id="rId5" Type="http://schemas.openxmlformats.org/officeDocument/2006/relationships/chart" Target="../charts/chart353.xml"/><Relationship Id="rId10" Type="http://schemas.openxmlformats.org/officeDocument/2006/relationships/chart" Target="../charts/chart358.xml"/><Relationship Id="rId4" Type="http://schemas.openxmlformats.org/officeDocument/2006/relationships/chart" Target="../charts/chart352.xml"/><Relationship Id="rId9" Type="http://schemas.openxmlformats.org/officeDocument/2006/relationships/chart" Target="../charts/chart357.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_rels/drawing5.xml.rels><?xml version="1.0" encoding="UTF-8" standalone="yes"?>
<Relationships xmlns="http://schemas.openxmlformats.org/package/2006/relationships"><Relationship Id="rId8" Type="http://schemas.openxmlformats.org/officeDocument/2006/relationships/chart" Target="../charts/chart56.xml"/><Relationship Id="rId3" Type="http://schemas.openxmlformats.org/officeDocument/2006/relationships/chart" Target="../charts/chart51.xml"/><Relationship Id="rId7" Type="http://schemas.openxmlformats.org/officeDocument/2006/relationships/chart" Target="../charts/chart55.xml"/><Relationship Id="rId12" Type="http://schemas.openxmlformats.org/officeDocument/2006/relationships/chart" Target="../charts/chart60.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5" Type="http://schemas.openxmlformats.org/officeDocument/2006/relationships/chart" Target="../charts/chart53.xml"/><Relationship Id="rId10" Type="http://schemas.openxmlformats.org/officeDocument/2006/relationships/chart" Target="../charts/chart58.xml"/><Relationship Id="rId4" Type="http://schemas.openxmlformats.org/officeDocument/2006/relationships/chart" Target="../charts/chart52.xml"/><Relationship Id="rId9" Type="http://schemas.openxmlformats.org/officeDocument/2006/relationships/chart" Target="../charts/chart57.xml"/></Relationships>
</file>

<file path=xl/drawings/_rels/drawing6.xml.rels><?xml version="1.0" encoding="UTF-8" standalone="yes"?>
<Relationships xmlns="http://schemas.openxmlformats.org/package/2006/relationships"><Relationship Id="rId8" Type="http://schemas.openxmlformats.org/officeDocument/2006/relationships/chart" Target="../charts/chart68.xml"/><Relationship Id="rId3" Type="http://schemas.openxmlformats.org/officeDocument/2006/relationships/chart" Target="../charts/chart63.xml"/><Relationship Id="rId7" Type="http://schemas.openxmlformats.org/officeDocument/2006/relationships/chart" Target="../charts/chart67.xml"/><Relationship Id="rId12" Type="http://schemas.openxmlformats.org/officeDocument/2006/relationships/chart" Target="../charts/chart72.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5" Type="http://schemas.openxmlformats.org/officeDocument/2006/relationships/chart" Target="../charts/chart65.xml"/><Relationship Id="rId10" Type="http://schemas.openxmlformats.org/officeDocument/2006/relationships/chart" Target="../charts/chart70.xml"/><Relationship Id="rId4" Type="http://schemas.openxmlformats.org/officeDocument/2006/relationships/chart" Target="../charts/chart64.xml"/><Relationship Id="rId9" Type="http://schemas.openxmlformats.org/officeDocument/2006/relationships/chart" Target="../charts/chart6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80.xml"/><Relationship Id="rId3" Type="http://schemas.openxmlformats.org/officeDocument/2006/relationships/chart" Target="../charts/chart75.xml"/><Relationship Id="rId7" Type="http://schemas.openxmlformats.org/officeDocument/2006/relationships/chart" Target="../charts/chart79.xml"/><Relationship Id="rId12" Type="http://schemas.openxmlformats.org/officeDocument/2006/relationships/chart" Target="../charts/chart84.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chart" Target="../charts/chart78.xml"/><Relationship Id="rId11" Type="http://schemas.openxmlformats.org/officeDocument/2006/relationships/chart" Target="../charts/chart83.xml"/><Relationship Id="rId5" Type="http://schemas.openxmlformats.org/officeDocument/2006/relationships/chart" Target="../charts/chart77.xml"/><Relationship Id="rId10" Type="http://schemas.openxmlformats.org/officeDocument/2006/relationships/chart" Target="../charts/chart82.xml"/><Relationship Id="rId4" Type="http://schemas.openxmlformats.org/officeDocument/2006/relationships/chart" Target="../charts/chart76.xml"/><Relationship Id="rId9" Type="http://schemas.openxmlformats.org/officeDocument/2006/relationships/chart" Target="../charts/chart8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92.xml"/><Relationship Id="rId3" Type="http://schemas.openxmlformats.org/officeDocument/2006/relationships/chart" Target="../charts/chart87.xml"/><Relationship Id="rId7" Type="http://schemas.openxmlformats.org/officeDocument/2006/relationships/chart" Target="../charts/chart91.xml"/><Relationship Id="rId12" Type="http://schemas.openxmlformats.org/officeDocument/2006/relationships/chart" Target="../charts/chart96.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11" Type="http://schemas.openxmlformats.org/officeDocument/2006/relationships/chart" Target="../charts/chart95.xml"/><Relationship Id="rId5" Type="http://schemas.openxmlformats.org/officeDocument/2006/relationships/chart" Target="../charts/chart89.xml"/><Relationship Id="rId10" Type="http://schemas.openxmlformats.org/officeDocument/2006/relationships/chart" Target="../charts/chart94.xml"/><Relationship Id="rId4" Type="http://schemas.openxmlformats.org/officeDocument/2006/relationships/chart" Target="../charts/chart88.xml"/><Relationship Id="rId9" Type="http://schemas.openxmlformats.org/officeDocument/2006/relationships/chart" Target="../charts/chart93.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04.xml"/><Relationship Id="rId3" Type="http://schemas.openxmlformats.org/officeDocument/2006/relationships/chart" Target="../charts/chart99.xml"/><Relationship Id="rId7" Type="http://schemas.openxmlformats.org/officeDocument/2006/relationships/chart" Target="../charts/chart103.xml"/><Relationship Id="rId12" Type="http://schemas.openxmlformats.org/officeDocument/2006/relationships/chart" Target="../charts/chart108.xml"/><Relationship Id="rId2" Type="http://schemas.openxmlformats.org/officeDocument/2006/relationships/chart" Target="../charts/chart98.xml"/><Relationship Id="rId1" Type="http://schemas.openxmlformats.org/officeDocument/2006/relationships/chart" Target="../charts/chart97.xml"/><Relationship Id="rId6" Type="http://schemas.openxmlformats.org/officeDocument/2006/relationships/chart" Target="../charts/chart102.xml"/><Relationship Id="rId11" Type="http://schemas.openxmlformats.org/officeDocument/2006/relationships/chart" Target="../charts/chart107.xml"/><Relationship Id="rId5" Type="http://schemas.openxmlformats.org/officeDocument/2006/relationships/chart" Target="../charts/chart101.xml"/><Relationship Id="rId10" Type="http://schemas.openxmlformats.org/officeDocument/2006/relationships/chart" Target="../charts/chart106.xml"/><Relationship Id="rId4" Type="http://schemas.openxmlformats.org/officeDocument/2006/relationships/chart" Target="../charts/chart100.xml"/><Relationship Id="rId9" Type="http://schemas.openxmlformats.org/officeDocument/2006/relationships/chart" Target="../charts/chart105.xml"/></Relationships>
</file>

<file path=xl/drawings/drawing1.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E23095E3-6E56-4809-95C8-FA063B6828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D2685978-DC12-4341-AA66-9BAA453C9D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17B3620F-F86E-4E71-A9B7-E771783EE0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5EC61CED-9D1D-4FAB-85CB-2BA5CC3A0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EB89DA1F-DCB6-4D51-AA98-E1849F260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8D26C8BA-4503-4398-BC5A-CC80AD5EF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EB854766-6B7A-443C-A15D-606B2059A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B13EAED5-EEA9-41AB-BF6A-958623FB6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4153FD77-E9FB-4C5D-999A-3C9CD2A46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E5316280-FA10-4C3B-9576-B438EBBBA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C27F6E5A-C005-4AD3-B8E5-1B875EF496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5048A39D-1819-4352-B7E9-E3378B389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D8FC5F0D-DA12-4F18-B95E-E05F094FBC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B38CBA6F-1383-4D4E-9ECE-EA5CE1D60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CDDD193C-C735-49F8-BD6F-54C177800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7321137F-9048-43A7-A2D9-829E236F8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FED8A140-2CF1-47F1-85D3-1152194AB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6D898863-D9DF-493B-8582-CCA583100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DF6D3EF1-9A95-4799-95CD-7752973F9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0C13F012-A486-4CE9-9DF5-360A46D5AF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748F666C-3C23-4572-B083-4AE382100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D194390F-3A61-48C9-A9CE-81426FB87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917D4773-D3CF-4F75-BFBC-13168DB948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F557EBD2-CB2C-4865-AF28-569A20F22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DBFA81B7-ED2A-468B-A48F-0215FEBAB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7463EB2F-691D-4A66-A595-D2BAE2FAC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CB0ECF31-A18F-4A5C-8A58-77487480C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61640704-D9E6-43D0-B813-56FD8BBA9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BA7514A3-43B6-44DE-BF00-103CB1926D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1EF84D1C-8C16-46AB-B675-0F04518B67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B87DEB10-0601-4510-8546-60A4FE042E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A1769B0C-D2D0-49EB-B822-5FCA76185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DABF8A92-E246-4D16-BAC0-41DFE177C7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AC571FB5-19F1-48BF-BCAC-6A572A2F8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378DADD4-EAD2-4800-8E01-F7118350E1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F49EC05F-3C02-47C4-9834-1F4DD5CDA2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76839639-C55B-47D6-B4C3-84A99ADCFE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67EFF5AD-D50D-477A-9FEB-13D563EB17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948F488E-5877-42AC-A872-B4D9773107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BEF46EE5-932D-4AD7-89EF-808319C64F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55E63C18-BB61-4EC6-9BE5-6586D6129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0AFF2D92-0EA4-45C1-B82D-8E28111396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00420CAB-BE00-4CD7-9FC8-D3CCAE5D4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8ACDB640-F41D-4DBF-B7FB-9F0715C57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93A9A3DF-A5B8-43D6-AE89-26C802BAF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41D912D0-CE44-428B-A763-B93304371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A26A452B-C315-4E87-9EC3-7010901D95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41FD96E0-FC71-4E9A-ADD1-98CF2B0D70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16DA4B76-76BA-4856-9E38-C15F6DB098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7DA2C03C-3631-4530-AFFE-C74AAC7A0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558C1347-04D7-47C6-9E0C-BE8BBA35E9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14DFFB2B-E97B-4F4A-A200-36079EE13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DA07BB0F-795B-4205-B538-F416809542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563C3BCC-33B5-4119-8EEF-F136471E8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39C8A51A-27E3-4178-8A08-12D3990D26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4F4A2870-73E4-4173-8C5E-95A5B9A37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B3943C67-BD8A-4D84-A9B7-FD100C55F1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7525AF1E-E5AA-4E57-850D-CA29F6715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13EC2DFB-4A4C-4133-B0EF-7A9FCCFB8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CFE9A5DF-9C81-487D-8347-9A6B80B596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5D5FC048-EE5C-4165-AE97-7B6D86E49E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B42BF3E1-06E3-4C82-949C-AEF4E3FD1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6118285F-9A05-4715-A862-EE0E23B0A2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07B25E8A-F5E5-4ACA-A08B-E7AFDE6E2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6AA848ED-F56B-4B76-81D1-C586072F5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89AFAD85-16EB-4F02-BEE2-6089A94480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B4531E2B-FC90-4FD2-8EFF-BAD93AF48B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09EC7299-C743-4957-A38A-B18977FBB7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1433B69D-5B4F-476E-8315-11B02F0C4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729C66F4-74CE-428B-91A8-7401D3DBE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29133C62-0CD0-4A25-BAB3-9BF7FA4E70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F6AB34B5-DF33-4CC7-8E05-BAB2C34BB1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B9A8018F-8E0E-4A24-AFF1-BEAE0AE0A9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F589F869-3F69-43EC-B0A3-004E47B34C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F6A768C1-503D-40A4-AB63-5EB3561C7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472B7158-A838-4542-BB16-4DFA8238F4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163474F3-D074-416E-AAB0-ADF5F2E0A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E924B599-7740-4294-8214-36170537A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4F276782-8CF5-458C-A5F6-5693199AD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22DB747B-01E4-433D-B2B8-5E9E5320AF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161FA95A-FA16-4302-85CE-BCF4503A10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915412EF-D720-436A-9604-924AC634D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CDB096F2-7B21-445F-8C6A-37D072B8A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0C2CE857-F19A-43D1-AC69-08796850F1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6897DC96-F1F1-4F18-ADC4-83F5F0CE38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A58A7C7F-72B2-4C6F-8C6B-BB738A4461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60E2E101-9CDC-4429-B5C7-96DCF95B5E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8C000324-29B6-457F-A808-FE81B89A17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0210E6CB-B6EE-4D6D-88CC-AEE11EDF47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0AEBC2C5-80CB-4CDB-970E-EE6136B67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A1A96A73-6DB8-4DB0-81CA-F314605EA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B24F45DB-4561-40C3-A710-72E349F180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7C20E690-7CCC-4022-802F-370F75657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33F3D66D-E179-47FB-9274-E9CD1345A4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948636F1-82D9-4561-9F06-EA51674E5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B3B707DF-B583-470C-A1F8-EB4322576D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4F9690CF-2E7D-45DE-9DE6-AA5A4A2AC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ECA6211A-811A-4F0D-A742-848A83805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0827F5EA-CC91-4424-8918-6F119CEE5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08E44F0E-FF8E-4F98-9E20-17CC1D7EB9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D51F25D4-B210-4BAD-B074-E9C07A041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3DE43183-4411-4AFB-9064-C34F937015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FAA09DCB-0AB0-45ED-A23A-57F86C90F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19C6C96E-56EA-4A5D-AF3A-58D9EAE5A1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D02BA245-476E-4D48-BF27-03F597A6B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4273ADB8-BB00-41F4-A8AC-59AECB60C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D8151101-21E4-464E-A17C-1B69F9C90D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E0E71401-538A-427F-B0F7-5CF3073F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2962F263-55E6-4EFF-9313-5845495A8B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729620C0-E9E2-4054-8B5D-F891FE26F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DE299832-35B9-4D7F-9400-E707CCBB1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86D9F5BA-1736-4F68-AC25-C68131CA1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8A033C6B-F621-4561-88D0-303960B400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EA1B7AC5-D687-419D-8EDB-304C1CFCC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81D5A5B4-0CD6-4E54-8DEE-775DEBE253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70D4D221-E2A9-44BE-90CE-41B4A0C781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7A94A781-78B9-47F7-9028-266BE5D3D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F64EBFD0-7CDB-4C1D-A308-D5F473B90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B87747CE-F4D9-4680-9190-29ECA21BA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833F0E13-EC5E-4401-92A3-9BCB6A9813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DCA5BF04-34C8-4BB1-94BC-8A64A454B1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D071BE01-7ED8-439A-86BE-AF2332152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9ECF8953-AF79-4F58-A1AC-075CD40D20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4D183DE2-3226-48E1-A7D5-9CDE9CFC75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4521809D-BF25-462C-ACB6-EBFF60A8A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4BBDFB9D-6033-4259-93F7-BC8FEBF0E1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875C47AF-BC0D-493E-B9B6-F5592DCA98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064DFE38-0539-4ACA-9793-619BF5A56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FED0885C-38C6-43A2-A04E-6D9D2D808F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8A75B82F-761C-4245-92C2-1576C74F7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D02F6925-0D39-46FB-973B-FC00F1839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C3CBE396-96E2-41E0-950F-D504FEF0B4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6BAAF344-7E1C-4616-AC77-87BD559CC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2175BE91-F8A6-46F5-9F3F-08F7613BF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C44F0EF6-E652-49C7-B5A2-DC7A737AF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8D9D371C-DE56-473B-8A1B-4C5B9331F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ECC7F52C-EF52-47C6-A4A1-9F69ED9D8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8134E0AC-C998-4C5A-8246-B15BC18C5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0201EA64-4BCA-4FD8-919C-6AD8AE57A5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8910E864-2C34-4F1B-8D7F-2C9AE0771F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E9BF2861-85A3-48A4-B515-BC4A0CEF4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5F52D51E-507F-4201-A0C3-5A48AB2BB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1FDF69F3-842F-4C62-AE96-44669A08DA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9BD2722D-7C8D-418E-BF58-9C8E4C69B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7BFFAD09-64F9-4B31-9E23-AA3D5FFDCC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4EF5E92F-A97F-4159-91DE-AF6AA354C4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DB175F71-030D-4425-AB90-2AD109EC28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4F6AB6C0-6474-4C17-A932-ED4AAD35B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0CCFCBB4-91CF-42E5-8254-24336EC8F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BBDF73AB-19A7-4E9E-94D5-115D572E1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4204D0E5-D62C-45E5-BF3C-29861D3FF6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3F0A5BC1-56DE-45C6-81DB-9429B91A6C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7106239B-6F43-4BFB-A99A-AC7E19AF1C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A5699A82-6B91-4F65-8B7A-F9086D18D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B2FCB10A-8150-4B2E-84FF-5508CCB05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9A5F2510-4163-4C42-8A15-4F6C030E04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ED1F7B0C-F3AA-44DB-833D-09A6B99A15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714C21CE-9A16-4515-A1BD-1B1976C26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4970D15B-3199-4B2A-8C9E-6A21D861D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5D543BC8-D2E1-467B-94B8-F83927787C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E9EF8BF0-6DEA-4352-8F13-361AE36F2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A1536A69-4F2C-4106-B977-A5E92C39E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2D25C6B3-9C50-42BC-8C94-922B87C02D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A5C71955-6C52-4E67-8BBF-FB5357992A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06A9B266-37B2-48FC-B25C-07156929F5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7FE9F1BF-6643-44E9-B172-BA197E6F90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FA9B49DC-BCC6-440C-B1A5-2467E806E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98DB00CD-FA96-4851-90DD-6CAD43512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1B55D28A-6C6F-4003-9992-37A216E720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9F96E04B-7789-42A9-AD4C-72E15FC54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0503FFE9-7C87-494A-BDE6-75CD17185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949198E1-0B87-41F9-9570-37AE58AD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D530460D-97E4-4DF3-8FC1-D2A379C9A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2552EFF0-AF7F-4310-9CFB-4481AF17D6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49083E5F-6451-4001-88BE-CABF9552E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551A0512-165E-45A1-889A-A67A83376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17C2F08A-9D40-4C44-8FC0-223B3D5F6C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BA70D207-4931-4551-828B-EE62B9D61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AB0DB839-C26E-4444-B6CA-349A7F353F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4CBEFD48-A622-4DF3-9FCB-31824F355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3BE4DB3A-4393-475B-A2D3-E619B28D1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F97714F3-535D-4009-9059-0184B5BB0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95C1BBB5-A7CB-4A38-BCD4-DA7C5E9D6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19027BE6-EEEC-42F6-BC4F-92D3F10343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952F0959-C438-408D-9D0E-DEDCBEC905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FD47D04F-EEE8-4940-AF75-B49D767D6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7C03D100-73F3-45A4-B0CC-3F654C3CE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EE5BEAE2-2338-4BBA-A48D-0484C4DEE6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8011B100-61D0-4BE0-8C1D-58A4A488F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09FAB274-EEF7-45E4-9D08-DD6A51D07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97FCECF2-49EE-415A-A73A-9D868A880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C6FDA2F0-9FDC-4271-915E-E99B324BBC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921F7719-E19F-4160-A91C-5504DFC3E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99E112A4-83A5-40B3-99D9-F10C205A3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B9A0317B-70CC-4FF6-BB8F-97D27F83B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7200BA9A-278F-4FAD-B89C-6B960A69C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6564D648-933F-4ABA-A77B-407C442A0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744D9C55-4418-4CEF-8797-71E150127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8C096A45-E531-45AD-81A1-5912692B9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4AC9A754-90D3-4D9F-A584-2A6061E5DC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3BF1AB98-4FC9-4B2E-B351-C87CAC319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05545E56-7CB9-46DF-99CB-C3BA316B5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0F106BE2-468B-4A98-80BF-6D9580B65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25DBA822-D389-456D-8557-8F7D4AC69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C53B4E98-D4A9-4C95-A78B-11AFE6098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2F37A421-5845-407E-B8CA-8DF437522E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CA13A956-B84E-40DF-B079-F8388FE4A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15BA9A94-0C3F-4F0D-B9D9-3913081B57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4500FDC5-8B7D-4564-B53C-AC53505E5A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E3B9B6F3-A451-42DA-BF71-569C0873B4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CE896147-6A83-4977-9EFC-7462578F4C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67857D14-9B2B-4BA2-90E4-FE7F71BB2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E585CA3D-40A8-4606-82CD-D43845803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9FD84432-CB44-44F4-A7C0-52543889A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EB7C1623-0A0F-4F43-BAFB-1DA87AAEAB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82B9F1AC-E759-4DA4-B370-7F6842A60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E0FBF6E9-4C35-428C-BD09-5FBB74C3D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C7DBDA3A-34C2-403D-8D8D-EA9EC79C62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8C3587A0-82C4-403B-BF61-A00198F240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D2C8DA99-D214-4026-946B-3FFAC1A16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C5296DB9-D000-471B-9B87-099F72C76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CE4DA188-3C18-4420-ADFF-1E48F442B3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D7709EFD-C678-4CCC-8CF3-0EBEC55F4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17C29272-689B-418D-945C-72AE0F0A7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FB99707D-5211-4B65-9FC4-4FA1170534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2D9FEF22-525E-48E4-A256-87F83A701F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D1E7BC53-7A0F-4BDE-919D-4B0E26DB2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5782B7D4-898A-4685-B65A-9469A6ECF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2E6F69CB-B6EA-4DEC-B371-EBE1B183C4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E33359FA-C073-4AA2-B0F6-33AF71451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AA4BAED3-4951-48DF-9C73-368992D1A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1BCDD694-F75F-4AE9-96EF-D1A1DA3339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CB2379B5-99B8-463B-9B3B-D1BA3D5D8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FFAF9593-D297-44B3-AE3F-F0B0801480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C9E2F7D5-6347-4C62-98CB-E1A8DB716F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A79A7755-5D4C-4A66-9776-9BEB24F55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DDBCB723-BA75-40E8-8333-CB14FA7CE0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3A7949D5-A9F2-4C89-81C1-EF6A2C168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277DA8E6-69C1-46E1-A908-B3BCC6749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DC886C2A-F5C2-415F-89D3-460F2F050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894CC40D-90B4-462F-B4A5-F0053D6861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6B8CB9CD-1B3E-446F-A24F-18C580B834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0A2E96F0-4D92-4B42-AACF-D9F79EFEF8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9C88D0E8-5649-4C2F-BF6F-501D7ECDD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51FADFB7-0FDB-4722-97F2-4C4D49F0D8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24008106-644C-4629-BA96-095C58136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A12583CC-677E-47D5-8588-9D5E24A34E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2321C31D-C580-48C9-A3A5-B51B58F6E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961AD64D-D881-4803-B4C2-1C5B1FCF5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7676FDD4-A6A3-4115-8766-B066213A33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4BF92ED3-4753-48CC-8C64-28C70DFAD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03FDE149-0C9F-4754-A965-18153FD29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801CFF7F-AA0F-4652-ACE0-1E93F175D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E8F2BF61-DDF5-4597-AA39-D9DD77D158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E6ED0C49-585B-4357-9824-3109ACF1D4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C117F9B1-5C7C-4D03-8BE6-83C4EE229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9A2E856A-8092-4EE6-9345-5DEC774346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D227FC2B-F130-4B34-847E-51F13030A6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A4702C9A-F0A6-44C3-9739-C5BF7D1AEC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B707A254-CA8A-438F-8CD3-980C012C97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806CB202-1285-4517-85D8-52FC136FA1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DBAD7ACD-1B0C-42A0-8D24-6C9A63026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7601CB71-0483-49D1-84F6-67D0E24DDE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A7EFBF2B-1A65-449B-9B0F-00278C9726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F2970A56-7F45-4791-ACCB-CC9C1440D5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9495D8D6-4FB1-40E3-8442-05573695D6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3F71857B-C5F6-4AE0-BCD2-A4D791A858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F0F7AF87-D1B1-4F40-B267-9AA3C31DF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899ACA7D-F5E3-42C2-A46D-57DACF2BE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C81D881A-852D-4586-B48C-BE16E6EEA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C7181CAA-18FF-43D3-B334-D18939EC0F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25251E3D-A8DC-4FB6-9214-13D12ACD49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B3364A20-E077-4E13-B056-9C79841CA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7DFD1065-C36A-4418-93B7-6C2673A07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9CD05069-6A68-4A0D-872F-5ADADEFF9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E020AF15-A38E-4BF1-A76E-100DA0B9CE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FB9DEBA9-3CC9-4D2B-9940-EE2235AA1F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6536E226-E982-4836-AD22-447B4350E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94159FEC-6ADF-41BC-9774-C411E543BA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A42A984A-4269-4CC9-A0BD-150880E75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4D5A05EB-B3E2-4ACE-92E8-C8D9EED16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BEEF76C5-EE94-43AE-9639-2C91AEE94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947B3B4F-5CC7-466F-BE98-CE8CC3F42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BC4B611A-97FF-4D58-9E70-F9078487A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DDC76362-EB87-42A5-A9AD-CFBFD035C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9A1FCDEF-6AF2-4656-8C49-FB466CCB92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E8B6529D-E4BA-40F9-84FC-0F896CBC8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95A982F1-20A9-44FB-8825-8571349D6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C61C51E3-4E9C-4479-BFAD-172329B29A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621476F7-215C-4377-84D9-EAB09CA16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218CA951-5977-4144-8A4E-7C7B727885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7C64C888-FE6F-4276-A9C7-592A7DA615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48A51B93-4158-464A-8B5D-0CACEE902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65F9926C-86BB-4AE7-861B-EA9735AB3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868CB10B-83BA-4EE7-9232-CF13545AF3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31AD8AA5-D8CC-4779-B226-D33F7AADB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1D733321-CA2E-4586-AC25-1C10CF6CAE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12E02BD5-FE30-4935-98A4-684B46D0F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7E77F762-2859-4DA7-9DD1-D0674ADB3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402DB919-FE9A-4185-9282-6EA10C61D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D4D1D182-AD63-48D8-B63D-7B66C914B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28A8F6DC-0D99-474B-A349-71FF4EE56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F7BCFDC1-FAB5-4D9C-B34F-CE4A81BB58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8FB04FA3-4899-49FA-B178-0BC583EDF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F1649A18-C499-47C5-BDBC-FD24898E97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4301401F-DA6B-4431-BC4A-22200782C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A542C128-8F27-41C9-8005-E9E38768A8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8A717C66-DEA6-4C75-9EC8-5806B0FCF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BF786FC9-ACA6-4DDF-9FDA-A5D5654A0B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16CB9BC5-E4A7-45A5-92B0-447137A69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0E75304D-ED0A-41AE-AAAE-09109B9EE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3EF63DC8-251F-42A8-A3C4-8E1DAED5C5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72D6FE9C-EA61-4441-82CC-7748744E40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7EF23C85-2B90-4DF3-8400-33E4E88BE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53BBCBF6-9806-4922-AF17-67F3B14FF8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879851BA-E95D-48B2-8952-5BE1B78FE1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F4E00A86-3952-4838-9564-1330CD4C39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2C62B8E7-1A53-4C6D-A755-B4668691EF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51DFE884-1304-469A-B147-3787B73D1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2DAA6825-A9E9-418C-82EA-C75BED1BF1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2C5E70A6-854F-4B58-9B02-04DB9CD1B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7D5C3A6D-DD30-40CC-88A5-E6CAFA577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B9130692-052E-4D00-9E4D-7A06FDEE3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4102C339-3409-498A-B03C-52E7354E4D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8DD39C21-B5D0-4434-9444-DBEE0E469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BC919FFA-02AB-46F8-9EA7-736F940182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F24D2FF7-002E-47C3-A10B-35829354E2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79B31DCC-2FCA-4517-99D5-DFC0380F9A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486D867C-6872-45F6-A0F2-5AC66730F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FB5ECBDD-4BD8-4652-B968-D2D8887E63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9FF03068-F77F-4A84-964B-D99609EAB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25D497C4-A3D0-4B37-8FEF-EC231B0290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41E2F8BF-0D22-44DE-AAD6-73B720C011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64518CDE-0542-4B35-8E36-7132C36DC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96B6CA65-AFF7-4B38-A9CA-9CC00360A0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90D6692B-580A-4600-8DFF-032AD3632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18D4B754-B0A9-4770-BC83-739B7DC2C4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472F75AD-12F7-4BE1-BE83-1C7F45383A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27D26A88-E261-424F-B71D-486285FF2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54FC2BCD-1E1E-4987-9528-51A83C9338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EF989788-C8FB-4327-9DDB-66FD6430F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67A3F480-D9D7-4CEE-8D64-6AB9DE05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F7B022CF-D152-4930-8E36-DB195992D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B8B497B4-D28B-49A4-98AF-3B2C2BCC0C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8CA0C628-BDD5-4897-ABE3-908B540F65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4530C568-1B0F-4D63-9C27-7026820314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5AC86805-5448-49EE-8046-FD72CEE50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CB71F4A0-2C65-4D7C-A2BA-9CB0FCCCE8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descr="Chart showing landings per kW day at sea over time">
          <a:extLst>
            <a:ext uri="{FF2B5EF4-FFF2-40B4-BE49-F238E27FC236}">
              <a16:creationId xmlns:a16="http://schemas.microsoft.com/office/drawing/2014/main" id="{EFA539E7-8D2F-4A84-9400-00E79ECB0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descr="Chart showing fishing income per kW day at sea over time">
          <a:extLst>
            <a:ext uri="{FF2B5EF4-FFF2-40B4-BE49-F238E27FC236}">
              <a16:creationId xmlns:a16="http://schemas.microsoft.com/office/drawing/2014/main" id="{13FBFBFE-5FA1-4F28-8B7D-278E3BD08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15</xdr:col>
      <xdr:colOff>759470</xdr:colOff>
      <xdr:row>60</xdr:row>
      <xdr:rowOff>57249</xdr:rowOff>
    </xdr:to>
    <xdr:graphicFrame macro="">
      <xdr:nvGraphicFramePr>
        <xdr:cNvPr id="4" name="Chart 3" descr="Chart showing total cost per kW day at sea over time">
          <a:extLst>
            <a:ext uri="{FF2B5EF4-FFF2-40B4-BE49-F238E27FC236}">
              <a16:creationId xmlns:a16="http://schemas.microsoft.com/office/drawing/2014/main" id="{50E9E1CD-3FDA-4EA7-936C-E23D067B0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descr="Chart showing operating profit per kW day at sea over time">
          <a:extLst>
            <a:ext uri="{FF2B5EF4-FFF2-40B4-BE49-F238E27FC236}">
              <a16:creationId xmlns:a16="http://schemas.microsoft.com/office/drawing/2014/main" id="{05E29EF9-BB91-4CA8-973B-E89400AA6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descr="Chart showing average price per tonne landed over time">
          <a:extLst>
            <a:ext uri="{FF2B5EF4-FFF2-40B4-BE49-F238E27FC236}">
              <a16:creationId xmlns:a16="http://schemas.microsoft.com/office/drawing/2014/main" id="{A9E0F2C4-C6FE-4FBA-B935-959DB41ED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15</xdr:col>
      <xdr:colOff>759470</xdr:colOff>
      <xdr:row>73</xdr:row>
      <xdr:rowOff>138608</xdr:rowOff>
    </xdr:to>
    <xdr:graphicFrame macro="">
      <xdr:nvGraphicFramePr>
        <xdr:cNvPr id="7" name="Chart 6" descr="Chart showing average annual operating profit per vessel over time">
          <a:extLst>
            <a:ext uri="{FF2B5EF4-FFF2-40B4-BE49-F238E27FC236}">
              <a16:creationId xmlns:a16="http://schemas.microsoft.com/office/drawing/2014/main" id="{A317E821-C50B-4A6A-A221-1F1FB0A0C3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descr="Chart showing top five species landed by volume in 2020">
          <a:extLst>
            <a:ext uri="{FF2B5EF4-FFF2-40B4-BE49-F238E27FC236}">
              <a16:creationId xmlns:a16="http://schemas.microsoft.com/office/drawing/2014/main" id="{8C7575B4-1FBF-4D4F-8284-C49895E8F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descr="Chart showing top five species landed by value in 2020">
          <a:extLst>
            <a:ext uri="{FF2B5EF4-FFF2-40B4-BE49-F238E27FC236}">
              <a16:creationId xmlns:a16="http://schemas.microsoft.com/office/drawing/2014/main" id="{70B5E998-2F59-418C-B955-C6E178BD0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15</xdr:col>
      <xdr:colOff>759470</xdr:colOff>
      <xdr:row>87</xdr:row>
      <xdr:rowOff>47725</xdr:rowOff>
    </xdr:to>
    <xdr:graphicFrame macro="">
      <xdr:nvGraphicFramePr>
        <xdr:cNvPr id="10" name="Hist_top5" descr="Chart showing top five species landed by value in from 2012 to 2021">
          <a:extLst>
            <a:ext uri="{FF2B5EF4-FFF2-40B4-BE49-F238E27FC236}">
              <a16:creationId xmlns:a16="http://schemas.microsoft.com/office/drawing/2014/main" id="{74509F68-BB13-4D5A-997E-EDF1410C1A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15</xdr:col>
      <xdr:colOff>613833</xdr:colOff>
      <xdr:row>125</xdr:row>
      <xdr:rowOff>24441</xdr:rowOff>
    </xdr:to>
    <xdr:graphicFrame macro="">
      <xdr:nvGraphicFramePr>
        <xdr:cNvPr id="11" name="Top5_qvol" descr="Chart showing top five species landed by volume in 2020 in the most and least profitable quartile">
          <a:extLst>
            <a:ext uri="{FF2B5EF4-FFF2-40B4-BE49-F238E27FC236}">
              <a16:creationId xmlns:a16="http://schemas.microsoft.com/office/drawing/2014/main" id="{7239B486-000E-44F9-80D1-283BBFF9BD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15</xdr:col>
      <xdr:colOff>613833</xdr:colOff>
      <xdr:row>136</xdr:row>
      <xdr:rowOff>81657</xdr:rowOff>
    </xdr:to>
    <xdr:graphicFrame macro="">
      <xdr:nvGraphicFramePr>
        <xdr:cNvPr id="12" name="Top5_qval" descr="Chart showing top five species landed by value in 2020 in the most and least profitable quartile">
          <a:extLst>
            <a:ext uri="{FF2B5EF4-FFF2-40B4-BE49-F238E27FC236}">
              <a16:creationId xmlns:a16="http://schemas.microsoft.com/office/drawing/2014/main" id="{FFC4F3C0-27EB-4945-8224-65B604C86D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15</xdr:col>
      <xdr:colOff>613833</xdr:colOff>
      <xdr:row>150</xdr:row>
      <xdr:rowOff>111879</xdr:rowOff>
    </xdr:to>
    <xdr:graphicFrame macro="">
      <xdr:nvGraphicFramePr>
        <xdr:cNvPr id="13" name="Graphique 6" descr="Chart showing total income, operating costs and operating profit in 2020 in the most and least profitable quartiles">
          <a:extLst>
            <a:ext uri="{FF2B5EF4-FFF2-40B4-BE49-F238E27FC236}">
              <a16:creationId xmlns:a16="http://schemas.microsoft.com/office/drawing/2014/main" id="{4D5D552A-6CED-4C07-9580-93ED1BD41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seafishcouk.sharepoint.com/Mac/Mac/Mac/Departments/Economics/CONFIDENTIAL/EU%20Data%20Collection/Fleet%202014/04%20Reporting/Seafish/Time%20Series%202006-15%20(Excel)/Latest%20Version/Multi%20annual%20tables%20-%20seb%20v5.4%20SLedits%20180316.xlsm?78658EBE" TargetMode="External"/><Relationship Id="rId1" Type="http://schemas.openxmlformats.org/officeDocument/2006/relationships/externalLinkPath" Target="file:///\\78658EBE\Multi%20annual%20tables%20-%20seb%20v5.4%20SLedits%201803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Segment tables to be exported"/>
      <sheetName val="Segment tables"/>
      <sheetName val="Summary data for export"/>
      <sheetName val="Landings tables"/>
      <sheetName val="Notes for export"/>
      <sheetName val="Highlights for export"/>
      <sheetName val="Segmentation Criteria export"/>
      <sheetName val="Sample size to be exported"/>
      <sheetName val="Op profit margin for export"/>
      <sheetName val="Net profit margin for export"/>
      <sheetName val="Segmentation"/>
      <sheetName val="Sample size"/>
      <sheetName val="Evol turnover"/>
      <sheetName val="Evol op profit"/>
      <sheetName val="Evol net profit"/>
      <sheetName val="Fuel cons per tonne landed"/>
      <sheetName val="Fuel cost per pound landed"/>
      <sheetName val="Multi_annual_results_average"/>
      <sheetName val="Multi_annual_results_sum"/>
      <sheetName val="Top_10_species"/>
      <sheetName val="Multi annual employment"/>
      <sheetName val="Mutli_annual_average_quartile"/>
      <sheetName val="Multi_annual_sum_quartile"/>
      <sheetName val="Top 10 species quartile"/>
      <sheetName val="Species names"/>
      <sheetName val="Export rules"/>
    </sheetNames>
    <sheetDataSet>
      <sheetData sheetId="0"/>
      <sheetData sheetId="1"/>
      <sheetData sheetId="2"/>
      <sheetData sheetId="3">
        <row r="4">
          <cell r="B4">
            <v>1</v>
          </cell>
          <cell r="D4">
            <v>-2</v>
          </cell>
        </row>
        <row r="59">
          <cell r="A59">
            <v>1</v>
          </cell>
        </row>
        <row r="60">
          <cell r="A60">
            <v>1000</v>
          </cell>
          <cell r="B60" t="str">
            <v xml:space="preserve">thousand </v>
          </cell>
          <cell r="C60" t="str">
            <v>'000</v>
          </cell>
        </row>
        <row r="61">
          <cell r="A61">
            <v>1000000</v>
          </cell>
          <cell r="B61" t="str">
            <v xml:space="preserve">million </v>
          </cell>
          <cell r="C61" t="str">
            <v xml:space="preserve"> million</v>
          </cell>
        </row>
        <row r="63">
          <cell r="A63" t="str">
            <v>Area VIIA demersal trawl</v>
          </cell>
          <cell r="B63" t="str">
            <v>Area VIIa demersal trawl</v>
          </cell>
        </row>
        <row r="64">
          <cell r="A64" t="str">
            <v>Area VIIA nephrops over 250kW</v>
          </cell>
          <cell r="B64" t="str">
            <v>Area VIIa nephrops o250kW</v>
          </cell>
        </row>
        <row r="65">
          <cell r="A65" t="str">
            <v>Area VIIA nephrops under 250kW</v>
          </cell>
          <cell r="B65" t="str">
            <v>Area VIIa nephrops u250kW</v>
          </cell>
        </row>
        <row r="66">
          <cell r="A66" t="str">
            <v>Area VIIBCDEFGHK 24-40m</v>
          </cell>
          <cell r="B66" t="str">
            <v>Area VIIb-k trawlers 24-40m</v>
          </cell>
        </row>
        <row r="67">
          <cell r="A67" t="str">
            <v>Area VIIBCDEFGHK trawlers 10-24m</v>
          </cell>
          <cell r="B67" t="str">
            <v>Area VIIb-k trawlers 10-24m</v>
          </cell>
        </row>
        <row r="68">
          <cell r="A68" t="str">
            <v>Gill netters</v>
          </cell>
          <cell r="B68" t="str">
            <v>Gill netters</v>
          </cell>
        </row>
        <row r="69">
          <cell r="A69" t="str">
            <v>Longliners</v>
          </cell>
          <cell r="B69" t="str">
            <v>Longliners</v>
          </cell>
        </row>
        <row r="70">
          <cell r="A70" t="str">
            <v>Low activity over 10m</v>
          </cell>
          <cell r="B70" t="str">
            <v>Low activity over 10m</v>
          </cell>
        </row>
        <row r="71">
          <cell r="A71" t="str">
            <v>Low activity under 10m</v>
          </cell>
          <cell r="B71" t="str">
            <v>Low activity under 10m</v>
          </cell>
        </row>
        <row r="72">
          <cell r="A72" t="str">
            <v>Miscellaneous</v>
          </cell>
          <cell r="B72" t="str">
            <v>Miscellaneous</v>
          </cell>
        </row>
        <row r="73">
          <cell r="A73" t="str">
            <v>North Sea beam trawl over 300kW</v>
          </cell>
          <cell r="B73" t="str">
            <v>NS beam trawl over 300kW</v>
          </cell>
        </row>
        <row r="74">
          <cell r="A74" t="str">
            <v>North Sea beam trawl under 300kW</v>
          </cell>
          <cell r="B74" t="str">
            <v>NS beam trawl under 300kW</v>
          </cell>
        </row>
        <row r="75">
          <cell r="A75" t="str">
            <v>North Sea nephrops over 300kW</v>
          </cell>
          <cell r="B75" t="str">
            <v>NS nephrops over 300kW</v>
          </cell>
        </row>
        <row r="76">
          <cell r="A76" t="str">
            <v>North Sea nephrops under 300kW</v>
          </cell>
          <cell r="B76" t="str">
            <v>NS nephrops under 300kW</v>
          </cell>
        </row>
        <row r="77">
          <cell r="A77" t="str">
            <v>NSWOS demersal over 24m</v>
          </cell>
          <cell r="B77" t="str">
            <v>NSWOS demersal over 24m</v>
          </cell>
        </row>
        <row r="78">
          <cell r="A78" t="str">
            <v>NSWOS demersal pair trawl seine</v>
          </cell>
          <cell r="B78" t="str">
            <v>NSWOS dem pair trawl seine</v>
          </cell>
        </row>
        <row r="79">
          <cell r="A79" t="str">
            <v>NSWOS demersal seiners</v>
          </cell>
          <cell r="B79" t="str">
            <v>NSWOS demersal seiners</v>
          </cell>
        </row>
        <row r="80">
          <cell r="A80" t="str">
            <v>NSWOS demersal under 24m over 300kW</v>
          </cell>
          <cell r="B80" t="str">
            <v>NSWOS demersal u24m o300kW</v>
          </cell>
        </row>
        <row r="81">
          <cell r="A81" t="str">
            <v>NSWOS demersal under 24m under 300kW</v>
          </cell>
          <cell r="B81" t="str">
            <v>NSWOS demersal u24m u300kW</v>
          </cell>
        </row>
        <row r="82">
          <cell r="A82" t="str">
            <v>Pelagic over 40m</v>
          </cell>
          <cell r="B82" t="str">
            <v>Pelagic over 40m</v>
          </cell>
        </row>
        <row r="83">
          <cell r="A83" t="str">
            <v>Pots and traps 10-12m</v>
          </cell>
          <cell r="B83" t="str">
            <v>Pots and traps 10-12m</v>
          </cell>
        </row>
        <row r="84">
          <cell r="A84" t="str">
            <v>Pots and traps over 12m</v>
          </cell>
          <cell r="B84" t="str">
            <v>Pots and traps over 12m</v>
          </cell>
        </row>
        <row r="85">
          <cell r="A85" t="str">
            <v>South West beamers over 250kW</v>
          </cell>
          <cell r="B85" t="str">
            <v>South West beamers o250kW</v>
          </cell>
        </row>
        <row r="86">
          <cell r="A86" t="str">
            <v>South West beamers under 250kW</v>
          </cell>
          <cell r="B86" t="str">
            <v>South West beamers u250kW</v>
          </cell>
        </row>
        <row r="87">
          <cell r="A87" t="str">
            <v>Under 10m demersal trawl/seine</v>
          </cell>
          <cell r="B87" t="str">
            <v>U10m demersal trawl/seine</v>
          </cell>
        </row>
        <row r="88">
          <cell r="A88" t="str">
            <v>Under 10m drift and/or fixed nets</v>
          </cell>
          <cell r="B88" t="str">
            <v>U10m drift-fixed nets</v>
          </cell>
        </row>
        <row r="89">
          <cell r="A89" t="str">
            <v>Under 10m pots and traps</v>
          </cell>
          <cell r="B89" t="str">
            <v>U10m pots and traps</v>
          </cell>
        </row>
        <row r="90">
          <cell r="A90" t="str">
            <v>Under 10m using hooks</v>
          </cell>
          <cell r="B90" t="str">
            <v>U10m using hooks</v>
          </cell>
        </row>
        <row r="91">
          <cell r="A91" t="str">
            <v>WOS nephrops over 250kW</v>
          </cell>
          <cell r="B91" t="str">
            <v>WOS nephrops over 250kW</v>
          </cell>
        </row>
        <row r="92">
          <cell r="A92" t="str">
            <v>WOS nephrops under 250kW</v>
          </cell>
          <cell r="B92" t="str">
            <v>WOS nephrops under 250kW</v>
          </cell>
        </row>
        <row r="93">
          <cell r="A93" t="str">
            <v>UK scallop dredge over 15m</v>
          </cell>
          <cell r="B93" t="str">
            <v>UK scallop dredge over 15m</v>
          </cell>
        </row>
        <row r="94">
          <cell r="A94" t="str">
            <v>UK scallop dredge under 15m</v>
          </cell>
          <cell r="B94" t="str">
            <v>UK scallop dredge under 15m</v>
          </cell>
        </row>
        <row r="95">
          <cell r="A95" t="str">
            <v>Inactive</v>
          </cell>
          <cell r="B95" t="str">
            <v>Inactive</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Albacore</v>
          </cell>
          <cell r="B2" t="str">
            <v>Albacore</v>
          </cell>
        </row>
        <row r="3">
          <cell r="A3" t="str">
            <v>Anchovy</v>
          </cell>
          <cell r="B3" t="str">
            <v>Anchovy</v>
          </cell>
        </row>
        <row r="4">
          <cell r="A4" t="str">
            <v>Argentine Hake (Sw Atlantic)</v>
          </cell>
          <cell r="B4" t="str">
            <v>Argentine Hake</v>
          </cell>
        </row>
        <row r="5">
          <cell r="A5" t="str">
            <v>Argentine shortfin squid</v>
          </cell>
          <cell r="B5" t="str">
            <v>Argentine shortfin squid</v>
          </cell>
        </row>
        <row r="6">
          <cell r="A6" t="str">
            <v>Bass</v>
          </cell>
          <cell r="B6" t="str">
            <v>Bass</v>
          </cell>
        </row>
        <row r="7">
          <cell r="A7" t="str">
            <v>Black Marlin</v>
          </cell>
          <cell r="B7" t="str">
            <v>Black Marlin</v>
          </cell>
        </row>
        <row r="8">
          <cell r="A8" t="str">
            <v>Black Seabream</v>
          </cell>
          <cell r="B8" t="str">
            <v>Black Seabream</v>
          </cell>
        </row>
        <row r="9">
          <cell r="A9" t="str">
            <v>Blonde Ray</v>
          </cell>
          <cell r="B9" t="str">
            <v>Blonde Ray</v>
          </cell>
        </row>
        <row r="10">
          <cell r="A10" t="str">
            <v>Blue Ling</v>
          </cell>
          <cell r="B10" t="str">
            <v>Blue Ling</v>
          </cell>
        </row>
        <row r="11">
          <cell r="A11" t="str">
            <v>Blue Shark</v>
          </cell>
          <cell r="B11" t="str">
            <v>Blue Shark</v>
          </cell>
        </row>
        <row r="12">
          <cell r="A12" t="str">
            <v>Blue Whiting</v>
          </cell>
          <cell r="B12" t="str">
            <v>Blue Whiting</v>
          </cell>
        </row>
        <row r="13">
          <cell r="A13" t="str">
            <v>Bluemouth (Blue Mouth Redfish)</v>
          </cell>
          <cell r="B13" t="str">
            <v>Blue Mouth Redfish</v>
          </cell>
        </row>
        <row r="14">
          <cell r="A14" t="str">
            <v>Boarfish (Capros Aper)</v>
          </cell>
          <cell r="B14" t="str">
            <v>Boarfish</v>
          </cell>
        </row>
        <row r="15">
          <cell r="A15" t="str">
            <v>Bream - Ray's</v>
          </cell>
          <cell r="B15" t="str">
            <v>Bream - Ray's</v>
          </cell>
        </row>
        <row r="16">
          <cell r="A16" t="str">
            <v>Brill</v>
          </cell>
          <cell r="B16" t="str">
            <v>Brill</v>
          </cell>
        </row>
        <row r="17">
          <cell r="A17" t="str">
            <v>Brown Shrimps</v>
          </cell>
          <cell r="B17" t="str">
            <v>Brown Shrimps</v>
          </cell>
        </row>
        <row r="18">
          <cell r="A18" t="str">
            <v>Catfish</v>
          </cell>
          <cell r="B18" t="str">
            <v>Catfish</v>
          </cell>
        </row>
        <row r="19">
          <cell r="A19" t="str">
            <v>Clams (M.Arenaria)</v>
          </cell>
          <cell r="B19" t="str">
            <v>Clams (M.Arenaria)</v>
          </cell>
        </row>
        <row r="20">
          <cell r="A20" t="str">
            <v>Clams (V.Decussata)</v>
          </cell>
          <cell r="B20" t="str">
            <v>Clams (V.Decussata)</v>
          </cell>
        </row>
        <row r="21">
          <cell r="A21" t="str">
            <v>Cockles</v>
          </cell>
          <cell r="B21" t="str">
            <v>Cockles</v>
          </cell>
        </row>
        <row r="22">
          <cell r="A22" t="str">
            <v>Cod</v>
          </cell>
          <cell r="B22" t="str">
            <v>Cod</v>
          </cell>
        </row>
        <row r="23">
          <cell r="A23" t="str">
            <v>Common Prawns</v>
          </cell>
          <cell r="B23" t="str">
            <v>Common Prawns</v>
          </cell>
        </row>
        <row r="24">
          <cell r="A24" t="str">
            <v>Conger Eels</v>
          </cell>
          <cell r="B24" t="str">
            <v>Conger Eels</v>
          </cell>
        </row>
        <row r="25">
          <cell r="A25" t="str">
            <v>Crabs - Velvet (Swim)</v>
          </cell>
          <cell r="B25" t="str">
            <v>Velvet Crab</v>
          </cell>
        </row>
        <row r="26">
          <cell r="A26" t="str">
            <v>Crabs (C.P.Mixed Sexes)</v>
          </cell>
          <cell r="B26" t="str">
            <v>Brown Crab</v>
          </cell>
        </row>
        <row r="27">
          <cell r="A27" t="str">
            <v>Crawfish</v>
          </cell>
          <cell r="B27" t="str">
            <v>Crawfish</v>
          </cell>
        </row>
        <row r="28">
          <cell r="A28" t="str">
            <v>Cuckoo Ray</v>
          </cell>
          <cell r="B28" t="str">
            <v>Cuckoo Ray</v>
          </cell>
        </row>
        <row r="29">
          <cell r="A29" t="str">
            <v>Cuttlefish</v>
          </cell>
          <cell r="B29" t="str">
            <v>Cuttlefish</v>
          </cell>
        </row>
        <row r="30">
          <cell r="A30" t="str">
            <v>Dabs</v>
          </cell>
          <cell r="B30" t="str">
            <v>Dabs</v>
          </cell>
        </row>
        <row r="31">
          <cell r="A31" t="str">
            <v>Deepwater Red Crab</v>
          </cell>
          <cell r="B31" t="str">
            <v>Deepwater Red Crab</v>
          </cell>
        </row>
        <row r="32">
          <cell r="A32" t="str">
            <v>Flounder or Flukes</v>
          </cell>
          <cell r="B32" t="str">
            <v>Flounder or Flukes</v>
          </cell>
        </row>
        <row r="33">
          <cell r="A33" t="str">
            <v>Greater Forked Beard</v>
          </cell>
          <cell r="B33" t="str">
            <v>Greater Forked Beard</v>
          </cell>
        </row>
        <row r="34">
          <cell r="A34" t="str">
            <v>Greater Silver Smelt</v>
          </cell>
          <cell r="B34" t="str">
            <v>Greater Silver Smelt</v>
          </cell>
        </row>
        <row r="35">
          <cell r="A35" t="str">
            <v>Green Crab</v>
          </cell>
          <cell r="B35" t="str">
            <v>Green Crab</v>
          </cell>
        </row>
        <row r="36">
          <cell r="A36" t="str">
            <v>Gurnard and Latchet</v>
          </cell>
          <cell r="B36" t="str">
            <v>Gurnard</v>
          </cell>
        </row>
        <row r="37">
          <cell r="A37" t="str">
            <v>Gurnards - Red</v>
          </cell>
          <cell r="B37" t="str">
            <v>Red Gurnard</v>
          </cell>
        </row>
        <row r="38">
          <cell r="A38" t="str">
            <v>Haddock</v>
          </cell>
          <cell r="B38" t="str">
            <v>Haddock</v>
          </cell>
        </row>
        <row r="39">
          <cell r="A39" t="str">
            <v>Hake</v>
          </cell>
          <cell r="B39" t="str">
            <v>Hake</v>
          </cell>
        </row>
        <row r="40">
          <cell r="A40" t="str">
            <v>Halibut</v>
          </cell>
          <cell r="B40" t="str">
            <v>Halibut</v>
          </cell>
        </row>
        <row r="41">
          <cell r="A41" t="str">
            <v>Halibut - Greenland</v>
          </cell>
          <cell r="B41" t="str">
            <v>Greenland Halibut</v>
          </cell>
        </row>
        <row r="42">
          <cell r="A42" t="str">
            <v>Herring</v>
          </cell>
          <cell r="B42" t="str">
            <v>Herring</v>
          </cell>
        </row>
        <row r="43">
          <cell r="A43" t="str">
            <v>Hoki-Macruronus Novazelandiae</v>
          </cell>
          <cell r="B43" t="str">
            <v>Hoki</v>
          </cell>
        </row>
        <row r="44">
          <cell r="A44" t="str">
            <v>Horse Mackerel</v>
          </cell>
          <cell r="B44" t="str">
            <v>Horse Mackerel</v>
          </cell>
        </row>
        <row r="45">
          <cell r="A45" t="str">
            <v>John Dory</v>
          </cell>
          <cell r="B45" t="str">
            <v>John Dory</v>
          </cell>
        </row>
        <row r="46">
          <cell r="A46" t="str">
            <v>Kingklip</v>
          </cell>
          <cell r="B46" t="str">
            <v>Kingklip</v>
          </cell>
        </row>
        <row r="47">
          <cell r="A47" t="str">
            <v>Kitefin Shark</v>
          </cell>
          <cell r="B47" t="str">
            <v>Kitefin Shark</v>
          </cell>
        </row>
        <row r="48">
          <cell r="A48" t="str">
            <v>Leafscale Gulper Shark</v>
          </cell>
          <cell r="B48" t="str">
            <v>Leafscale Gulper Shark</v>
          </cell>
        </row>
        <row r="49">
          <cell r="A49" t="str">
            <v>Lemon Sole</v>
          </cell>
          <cell r="B49" t="str">
            <v>Lemon Sole</v>
          </cell>
        </row>
        <row r="50">
          <cell r="A50" t="str">
            <v>Lesser Spotted Dog</v>
          </cell>
          <cell r="B50" t="str">
            <v>Les. Spot. Dog</v>
          </cell>
        </row>
        <row r="51">
          <cell r="A51" t="str">
            <v>Ling</v>
          </cell>
          <cell r="B51" t="str">
            <v>Ling</v>
          </cell>
        </row>
        <row r="52">
          <cell r="A52" t="str">
            <v>Livers</v>
          </cell>
          <cell r="B52" t="str">
            <v>Livers</v>
          </cell>
        </row>
        <row r="53">
          <cell r="A53" t="str">
            <v>Lobsters</v>
          </cell>
          <cell r="B53" t="str">
            <v>Lobsters</v>
          </cell>
        </row>
        <row r="54">
          <cell r="A54" t="str">
            <v>Longnose Velvet Dogfish</v>
          </cell>
          <cell r="B54" t="str">
            <v>Dogfish</v>
          </cell>
        </row>
        <row r="55">
          <cell r="A55" t="str">
            <v>Mackerel</v>
          </cell>
          <cell r="B55" t="str">
            <v>Mackerel</v>
          </cell>
        </row>
        <row r="56">
          <cell r="A56" t="str">
            <v>Mako Shark</v>
          </cell>
          <cell r="B56" t="str">
            <v>Mako Shark</v>
          </cell>
        </row>
        <row r="57">
          <cell r="A57" t="str">
            <v>Manilla Clam</v>
          </cell>
          <cell r="B57" t="str">
            <v>Manilla Clam</v>
          </cell>
        </row>
        <row r="58">
          <cell r="A58" t="str">
            <v>Megrim</v>
          </cell>
          <cell r="B58" t="str">
            <v>Megrim</v>
          </cell>
        </row>
        <row r="59">
          <cell r="A59" t="str">
            <v>Mixed Clams</v>
          </cell>
          <cell r="B59" t="str">
            <v>Mixed Clams</v>
          </cell>
        </row>
        <row r="60">
          <cell r="A60" t="str">
            <v>Mixed Crabs</v>
          </cell>
          <cell r="B60" t="str">
            <v>Mixed Crabs</v>
          </cell>
        </row>
        <row r="61">
          <cell r="A61" t="str">
            <v>Mixed Squid and Octopi</v>
          </cell>
          <cell r="B61" t="str">
            <v>Squid</v>
          </cell>
        </row>
        <row r="62">
          <cell r="A62" t="str">
            <v>Monks or Anglers</v>
          </cell>
          <cell r="B62" t="str">
            <v>Anglerfish</v>
          </cell>
        </row>
        <row r="63">
          <cell r="A63" t="str">
            <v>Mullet - Other</v>
          </cell>
          <cell r="B63" t="str">
            <v>Mullet</v>
          </cell>
        </row>
        <row r="64">
          <cell r="A64" t="str">
            <v>Mussels</v>
          </cell>
          <cell r="B64" t="str">
            <v>Mussels</v>
          </cell>
        </row>
        <row r="65">
          <cell r="A65" t="str">
            <v>Native Oysters</v>
          </cell>
          <cell r="B65" t="str">
            <v>Native Oysters</v>
          </cell>
        </row>
        <row r="66">
          <cell r="A66" t="str">
            <v>Nephrops (Norway Lobster)</v>
          </cell>
          <cell r="B66" t="str">
            <v>Nephrops</v>
          </cell>
        </row>
        <row r="67">
          <cell r="A67" t="str">
            <v>Norway Pout</v>
          </cell>
          <cell r="B67" t="str">
            <v>Norway Pout</v>
          </cell>
        </row>
        <row r="68">
          <cell r="A68" t="str">
            <v>Octopus</v>
          </cell>
          <cell r="B68" t="str">
            <v>Octopus</v>
          </cell>
        </row>
        <row r="69">
          <cell r="A69" t="str">
            <v>Other or mixed Demersal</v>
          </cell>
          <cell r="B69" t="str">
            <v>Other or mixed Demersal</v>
          </cell>
        </row>
        <row r="70">
          <cell r="A70" t="str">
            <v>Other Pelagic</v>
          </cell>
          <cell r="B70" t="str">
            <v>Other Pelagic</v>
          </cell>
        </row>
        <row r="71">
          <cell r="A71" t="str">
            <v>Patagonian Blennie</v>
          </cell>
          <cell r="B71" t="str">
            <v>Patagonian Blennie</v>
          </cell>
        </row>
        <row r="72">
          <cell r="A72" t="str">
            <v>Patagonian Rockcod</v>
          </cell>
          <cell r="B72" t="str">
            <v>Patagonian Rockcod</v>
          </cell>
        </row>
        <row r="73">
          <cell r="A73" t="str">
            <v>Patagonian squid</v>
          </cell>
          <cell r="B73" t="str">
            <v>Patagonian squid</v>
          </cell>
        </row>
        <row r="74">
          <cell r="A74" t="str">
            <v>Periwinkles</v>
          </cell>
          <cell r="B74" t="str">
            <v>Periwinkles</v>
          </cell>
        </row>
        <row r="75">
          <cell r="A75" t="str">
            <v>Pilchards</v>
          </cell>
          <cell r="B75" t="str">
            <v>Pilchards</v>
          </cell>
        </row>
        <row r="76">
          <cell r="A76" t="str">
            <v>Pink Shrimps</v>
          </cell>
          <cell r="B76" t="str">
            <v>Pink Shrimps</v>
          </cell>
        </row>
        <row r="77">
          <cell r="A77" t="str">
            <v>Plaice</v>
          </cell>
          <cell r="B77" t="str">
            <v>Plaice</v>
          </cell>
        </row>
        <row r="78">
          <cell r="A78" t="str">
            <v>Pollack</v>
          </cell>
          <cell r="B78" t="str">
            <v>Pollack</v>
          </cell>
        </row>
        <row r="79">
          <cell r="A79" t="str">
            <v>Portuguese Dogfish (Shark)</v>
          </cell>
          <cell r="B79" t="str">
            <v>Portuguese Dogfish</v>
          </cell>
        </row>
        <row r="80">
          <cell r="A80" t="str">
            <v>Pouting (Bib)</v>
          </cell>
          <cell r="B80" t="str">
            <v>Pouting</v>
          </cell>
        </row>
        <row r="81">
          <cell r="A81" t="str">
            <v>Queen Scallops</v>
          </cell>
          <cell r="B81" t="str">
            <v>Queen Scallops</v>
          </cell>
        </row>
        <row r="82">
          <cell r="A82" t="str">
            <v>Razor Clam</v>
          </cell>
          <cell r="B82" t="str">
            <v>Razor Clam</v>
          </cell>
        </row>
        <row r="83">
          <cell r="A83" t="str">
            <v>Red (Blackspot) Seabream</v>
          </cell>
          <cell r="B83" t="str">
            <v>Red Seabream</v>
          </cell>
        </row>
        <row r="84">
          <cell r="A84" t="str">
            <v>Red Mullet</v>
          </cell>
          <cell r="B84" t="str">
            <v>Red Mullet</v>
          </cell>
        </row>
        <row r="85">
          <cell r="A85" t="str">
            <v>Redfishes</v>
          </cell>
          <cell r="B85" t="str">
            <v>Redfishes</v>
          </cell>
        </row>
        <row r="86">
          <cell r="A86" t="str">
            <v>Saithe</v>
          </cell>
          <cell r="B86" t="str">
            <v>Saithe</v>
          </cell>
        </row>
        <row r="87">
          <cell r="A87" t="str">
            <v>Sand Eels</v>
          </cell>
          <cell r="B87" t="str">
            <v>Sand Eels</v>
          </cell>
        </row>
        <row r="88">
          <cell r="A88" t="str">
            <v>Sardinelle Aurita (Round)</v>
          </cell>
          <cell r="B88" t="str">
            <v>Sardinelle Aurita</v>
          </cell>
        </row>
        <row r="89">
          <cell r="A89" t="str">
            <v>Sardinelle Maderensis (Flat)</v>
          </cell>
          <cell r="B89" t="str">
            <v>Sardinelle Maderensis</v>
          </cell>
        </row>
        <row r="90">
          <cell r="A90" t="str">
            <v>Scallops</v>
          </cell>
          <cell r="B90" t="str">
            <v>Scallops</v>
          </cell>
        </row>
        <row r="91">
          <cell r="A91" t="str">
            <v>Shagreen Ray</v>
          </cell>
          <cell r="B91" t="str">
            <v>Shagreen Ray</v>
          </cell>
        </row>
        <row r="92">
          <cell r="A92" t="str">
            <v>Sharks</v>
          </cell>
          <cell r="B92" t="str">
            <v>Sharks</v>
          </cell>
        </row>
        <row r="93">
          <cell r="A93" t="str">
            <v>Shortfin mako</v>
          </cell>
          <cell r="B93" t="str">
            <v>Shortfin mako</v>
          </cell>
        </row>
        <row r="94">
          <cell r="A94" t="str">
            <v>Shrimps - Pink (Northern prawn)</v>
          </cell>
          <cell r="B94" t="str">
            <v>Northern shrimp</v>
          </cell>
        </row>
        <row r="95">
          <cell r="A95" t="str">
            <v>Silver Scabbard Fish</v>
          </cell>
          <cell r="B95" t="str">
            <v>Silver Scabbard Fish</v>
          </cell>
        </row>
        <row r="96">
          <cell r="A96" t="str">
            <v>Skates and Rays</v>
          </cell>
          <cell r="B96" t="str">
            <v>Skates and Rays</v>
          </cell>
        </row>
        <row r="97">
          <cell r="A97" t="str">
            <v>Smoothhound</v>
          </cell>
          <cell r="B97" t="str">
            <v>Smoothhound</v>
          </cell>
        </row>
        <row r="98">
          <cell r="A98" t="str">
            <v>Snake Mackerel</v>
          </cell>
          <cell r="B98" t="str">
            <v>Snake Mackerel</v>
          </cell>
        </row>
        <row r="99">
          <cell r="A99" t="str">
            <v>Sole</v>
          </cell>
          <cell r="B99" t="str">
            <v>Sole</v>
          </cell>
        </row>
        <row r="100">
          <cell r="A100" t="str">
            <v>Southern Blue Whiting</v>
          </cell>
          <cell r="B100" t="str">
            <v>Southern Blue Whiting</v>
          </cell>
        </row>
        <row r="101">
          <cell r="A101" t="str">
            <v>Spider Crabs</v>
          </cell>
          <cell r="B101" t="str">
            <v>Spider Crabs</v>
          </cell>
        </row>
        <row r="102">
          <cell r="A102" t="str">
            <v>Spotted Ray</v>
          </cell>
          <cell r="B102" t="str">
            <v>Spotted Ray</v>
          </cell>
        </row>
        <row r="103">
          <cell r="A103" t="str">
            <v>Sprats</v>
          </cell>
          <cell r="B103" t="str">
            <v>Sprats</v>
          </cell>
        </row>
        <row r="104">
          <cell r="A104" t="str">
            <v>Spurdog</v>
          </cell>
          <cell r="B104" t="str">
            <v>Spurdog</v>
          </cell>
        </row>
        <row r="105">
          <cell r="A105" t="str">
            <v>Squid</v>
          </cell>
          <cell r="B105" t="str">
            <v>Squid</v>
          </cell>
        </row>
        <row r="106">
          <cell r="A106" t="str">
            <v>Surf Clams</v>
          </cell>
          <cell r="B106" t="str">
            <v>Surf Clams</v>
          </cell>
        </row>
        <row r="107">
          <cell r="A107" t="str">
            <v>Swordfish</v>
          </cell>
          <cell r="B107" t="str">
            <v>Swordfish</v>
          </cell>
        </row>
        <row r="108">
          <cell r="A108" t="str">
            <v>Tadpole Codling</v>
          </cell>
          <cell r="B108" t="str">
            <v>Tadpole Codling</v>
          </cell>
        </row>
        <row r="109">
          <cell r="A109" t="str">
            <v>Thornback Ray</v>
          </cell>
          <cell r="B109" t="str">
            <v>Thornback Ray</v>
          </cell>
        </row>
        <row r="110">
          <cell r="A110" t="str">
            <v>Tub Gurnard</v>
          </cell>
          <cell r="B110" t="str">
            <v>Tub Gurnard</v>
          </cell>
        </row>
        <row r="111">
          <cell r="A111" t="str">
            <v>Tuna - Other</v>
          </cell>
          <cell r="B111" t="str">
            <v>Tuna - Other</v>
          </cell>
        </row>
        <row r="112">
          <cell r="A112" t="str">
            <v>Turbot</v>
          </cell>
          <cell r="B112" t="str">
            <v>Turbot</v>
          </cell>
        </row>
        <row r="113">
          <cell r="A113" t="str">
            <v>Unid DS Squal Sharks &amp; Dogfish</v>
          </cell>
          <cell r="B113" t="str">
            <v>Sharks &amp; Dogfish</v>
          </cell>
        </row>
        <row r="114">
          <cell r="A114" t="str">
            <v>Unidentified Dogfish</v>
          </cell>
          <cell r="B114" t="str">
            <v>Dogfish</v>
          </cell>
        </row>
        <row r="115">
          <cell r="A115" t="str">
            <v>Whelks</v>
          </cell>
          <cell r="B115" t="str">
            <v>Whelks</v>
          </cell>
        </row>
        <row r="116">
          <cell r="A116" t="str">
            <v>Whiting</v>
          </cell>
          <cell r="B116" t="str">
            <v>Whiting</v>
          </cell>
        </row>
        <row r="117">
          <cell r="A117" t="str">
            <v>Witch</v>
          </cell>
          <cell r="B117" t="str">
            <v>Witch</v>
          </cell>
        </row>
        <row r="118">
          <cell r="A118" t="str">
            <v>Wreckfish</v>
          </cell>
          <cell r="B118" t="str">
            <v>Wreckfish</v>
          </cell>
        </row>
        <row r="119">
          <cell r="A119" t="str">
            <v>Yellowfin tuna</v>
          </cell>
          <cell r="B119" t="str">
            <v>Yellowfin tuna</v>
          </cell>
        </row>
      </sheetData>
      <sheetData sheetId="27"/>
    </sheetDataSet>
  </externalBook>
</externalLink>
</file>

<file path=xl/theme/theme1.xml><?xml version="1.0" encoding="utf-8"?>
<a:theme xmlns:a="http://schemas.openxmlformats.org/drawingml/2006/main" name="Office Theme">
  <a:themeElements>
    <a:clrScheme name="Office">
      <a:dk1>
        <a:srgbClr val="000000"/>
      </a:dk1>
      <a:lt1>
        <a:srgbClr val="FFFFFF"/>
      </a:lt1>
      <a:dk2>
        <a:srgbClr val="707271"/>
      </a:dk2>
      <a:lt2>
        <a:srgbClr val="169FDB"/>
      </a:lt2>
      <a:accent1>
        <a:srgbClr val="2273B9"/>
      </a:accent1>
      <a:accent2>
        <a:srgbClr val="648C2E"/>
      </a:accent2>
      <a:accent3>
        <a:srgbClr val="E87308"/>
      </a:accent3>
      <a:accent4>
        <a:srgbClr val="55585A"/>
      </a:accent4>
      <a:accent5>
        <a:srgbClr val="51AA81"/>
      </a:accent5>
      <a:accent6>
        <a:srgbClr val="E40D2C"/>
      </a:accent6>
      <a:hlink>
        <a:srgbClr val="E84A38"/>
      </a:hlink>
      <a:folHlink>
        <a:srgbClr val="087CBB"/>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21621-C57E-47AC-9AEE-728BB5693E48}">
  <sheetPr codeName="Feuil4"/>
  <dimension ref="A1:B42"/>
  <sheetViews>
    <sheetView tabSelected="1" workbookViewId="0"/>
  </sheetViews>
  <sheetFormatPr defaultColWidth="8.625" defaultRowHeight="12.75" x14ac:dyDescent="0.2"/>
  <cols>
    <col min="1" max="1" width="4.125" style="2" customWidth="1"/>
    <col min="2" max="2" width="81.625" style="2" customWidth="1"/>
    <col min="3" max="16384" width="8.625" style="2"/>
  </cols>
  <sheetData>
    <row r="1" spans="1:2" ht="18" x14ac:dyDescent="0.25">
      <c r="A1" s="1" t="s">
        <v>0</v>
      </c>
    </row>
    <row r="3" spans="1:2" x14ac:dyDescent="0.2">
      <c r="B3" s="19" t="s">
        <v>637</v>
      </c>
    </row>
    <row r="4" spans="1:2" x14ac:dyDescent="0.2">
      <c r="B4" s="19" t="s">
        <v>606</v>
      </c>
    </row>
    <row r="5" spans="1:2" x14ac:dyDescent="0.2">
      <c r="B5" s="19" t="s">
        <v>18</v>
      </c>
    </row>
    <row r="6" spans="1:2" x14ac:dyDescent="0.2">
      <c r="B6" s="19" t="s">
        <v>15</v>
      </c>
    </row>
    <row r="7" spans="1:2" x14ac:dyDescent="0.2">
      <c r="B7" s="19" t="s">
        <v>602</v>
      </c>
    </row>
    <row r="8" spans="1:2" x14ac:dyDescent="0.2">
      <c r="B8" s="19" t="s">
        <v>536</v>
      </c>
    </row>
    <row r="9" spans="1:2" x14ac:dyDescent="0.2">
      <c r="B9" s="126" t="s">
        <v>531</v>
      </c>
    </row>
    <row r="10" spans="1:2" x14ac:dyDescent="0.2">
      <c r="B10" s="19" t="s">
        <v>529</v>
      </c>
    </row>
    <row r="11" spans="1:2" x14ac:dyDescent="0.2">
      <c r="B11" s="3"/>
    </row>
    <row r="12" spans="1:2" x14ac:dyDescent="0.2">
      <c r="B12" s="4" t="s">
        <v>1</v>
      </c>
    </row>
    <row r="13" spans="1:2" x14ac:dyDescent="0.2">
      <c r="B13" s="109" t="s">
        <v>19</v>
      </c>
    </row>
    <row r="14" spans="1:2" x14ac:dyDescent="0.2">
      <c r="B14" s="109" t="s">
        <v>129</v>
      </c>
    </row>
    <row r="15" spans="1:2" x14ac:dyDescent="0.2">
      <c r="B15" s="109" t="s">
        <v>148</v>
      </c>
    </row>
    <row r="16" spans="1:2" x14ac:dyDescent="0.2">
      <c r="B16" s="109" t="s">
        <v>163</v>
      </c>
    </row>
    <row r="17" spans="2:2" x14ac:dyDescent="0.2">
      <c r="B17" s="109" t="s">
        <v>180</v>
      </c>
    </row>
    <row r="18" spans="2:2" x14ac:dyDescent="0.2">
      <c r="B18" s="109" t="s">
        <v>197</v>
      </c>
    </row>
    <row r="19" spans="2:2" x14ac:dyDescent="0.2">
      <c r="B19" s="109" t="s">
        <v>214</v>
      </c>
    </row>
    <row r="20" spans="2:2" x14ac:dyDescent="0.2">
      <c r="B20" s="109" t="s">
        <v>232</v>
      </c>
    </row>
    <row r="21" spans="2:2" x14ac:dyDescent="0.2">
      <c r="B21" s="109" t="s">
        <v>251</v>
      </c>
    </row>
    <row r="22" spans="2:2" x14ac:dyDescent="0.2">
      <c r="B22" s="109" t="s">
        <v>266</v>
      </c>
    </row>
    <row r="23" spans="2:2" x14ac:dyDescent="0.2">
      <c r="B23" s="109" t="s">
        <v>280</v>
      </c>
    </row>
    <row r="24" spans="2:2" x14ac:dyDescent="0.2">
      <c r="B24" s="109" t="s">
        <v>291</v>
      </c>
    </row>
    <row r="25" spans="2:2" x14ac:dyDescent="0.2">
      <c r="B25" s="109" t="s">
        <v>304</v>
      </c>
    </row>
    <row r="26" spans="2:2" x14ac:dyDescent="0.2">
      <c r="B26" s="109" t="s">
        <v>316</v>
      </c>
    </row>
    <row r="27" spans="2:2" x14ac:dyDescent="0.2">
      <c r="B27" s="109" t="s">
        <v>329</v>
      </c>
    </row>
    <row r="28" spans="2:2" x14ac:dyDescent="0.2">
      <c r="B28" s="109" t="s">
        <v>341</v>
      </c>
    </row>
    <row r="29" spans="2:2" x14ac:dyDescent="0.2">
      <c r="B29" s="109" t="s">
        <v>354</v>
      </c>
    </row>
    <row r="30" spans="2:2" x14ac:dyDescent="0.2">
      <c r="B30" s="109" t="s">
        <v>367</v>
      </c>
    </row>
    <row r="31" spans="2:2" x14ac:dyDescent="0.2">
      <c r="B31" s="109" t="s">
        <v>380</v>
      </c>
    </row>
    <row r="32" spans="2:2" x14ac:dyDescent="0.2">
      <c r="B32" s="109" t="s">
        <v>393</v>
      </c>
    </row>
    <row r="33" spans="2:2" x14ac:dyDescent="0.2">
      <c r="B33" s="109" t="s">
        <v>404</v>
      </c>
    </row>
    <row r="34" spans="2:2" x14ac:dyDescent="0.2">
      <c r="B34" s="109" t="s">
        <v>417</v>
      </c>
    </row>
    <row r="35" spans="2:2" x14ac:dyDescent="0.2">
      <c r="B35" s="109" t="s">
        <v>430</v>
      </c>
    </row>
    <row r="36" spans="2:2" x14ac:dyDescent="0.2">
      <c r="B36" s="109" t="s">
        <v>443</v>
      </c>
    </row>
    <row r="37" spans="2:2" x14ac:dyDescent="0.2">
      <c r="B37" s="109" t="s">
        <v>458</v>
      </c>
    </row>
    <row r="38" spans="2:2" x14ac:dyDescent="0.2">
      <c r="B38" s="109" t="s">
        <v>470</v>
      </c>
    </row>
    <row r="39" spans="2:2" x14ac:dyDescent="0.2">
      <c r="B39" s="109" t="s">
        <v>483</v>
      </c>
    </row>
    <row r="40" spans="2:2" x14ac:dyDescent="0.2">
      <c r="B40" s="109" t="s">
        <v>495</v>
      </c>
    </row>
    <row r="41" spans="2:2" x14ac:dyDescent="0.2">
      <c r="B41" s="109" t="s">
        <v>507</v>
      </c>
    </row>
    <row r="42" spans="2:2" x14ac:dyDescent="0.2">
      <c r="B42" s="109" t="s">
        <v>518</v>
      </c>
    </row>
  </sheetData>
  <hyperlinks>
    <hyperlink ref="B6" location="Summary_projection" display="Summary 2021" xr:uid="{1D4092C7-E50A-4F49-97E4-C8854BA31DFF}"/>
    <hyperlink ref="B5" location="Summary_last" display="Summary 2020" xr:uid="{1A6148B5-B52B-4834-84E8-A9CC5A4FCC21}"/>
    <hyperlink ref="B13" location="Area_VIIa_demersal_trawl" display="Area VIIA demersal trawl" xr:uid="{836F4E6C-FA18-4AF7-A2A4-78194BAF708A}"/>
    <hyperlink ref="B14" location="Area_VIIa_nephrops_o250kW" display="Area VIIA nephrops over 250kW" xr:uid="{84BE06B8-14FA-4182-8F86-3B58D554CF33}"/>
    <hyperlink ref="B15" location="Area_VIIa_nephrops_u250kW" display="Area VIIA nephrops under 250kW" xr:uid="{F083D53A-1C25-42B1-91F0-667BEE4B8EF1}"/>
    <hyperlink ref="B16" location="Area_VIIb_k_trawlers_24_40m" display="Area VIIBCDEFGHK 24-40m" xr:uid="{28BA0866-DBB2-4EDE-90FA-3170A0DB4EC8}"/>
    <hyperlink ref="B17" location="Area_VIIb_k_trawlers_10_24m" display="Area VIIBCDEFGHK trawlers 10-24m" xr:uid="{EF20FC76-E13E-4A52-9F78-C63A8EF564E0}"/>
    <hyperlink ref="B18" location="Gill_netters" display="Gill netters" xr:uid="{4253BF79-4AE7-4084-84E7-807B171B0CBD}"/>
    <hyperlink ref="B19" location="Longliners" display="Longliners" xr:uid="{D00414E6-7FC9-42CB-AC87-23EAA37EE2E9}"/>
    <hyperlink ref="B20" location="Low_activity_over_10m" display="Low activity over 10m" xr:uid="{E51676FD-DCE2-4B64-8A0E-7BA50D161889}"/>
    <hyperlink ref="B21" location="Low_activity_under_10m" display="Low activity under 10m" xr:uid="{152F2C2F-2332-4E14-95EC-4E8934AD85E2}"/>
    <hyperlink ref="B22" location="NS_beam_trawl_over_300kW" display="North Sea beam trawl over 300kW" xr:uid="{0D12F0BD-6A15-4CA1-9912-B4B437083FCD}"/>
    <hyperlink ref="B23" location="NS_beam_trawl_under_300kW" display="North Sea beam trawl under 300kW" xr:uid="{B3139031-9181-4F0B-917A-B7FE3C2F0EA9}"/>
    <hyperlink ref="B24" location="NS_nephrops_over_300kW" display="North Sea nephrops over 300kW" xr:uid="{6450D1B2-7A73-4695-BF5F-3F244DA817D2}"/>
    <hyperlink ref="B25" location="NS_nephrops_under_300kW" display="North Sea nephrops under 300kW" xr:uid="{13FF688A-2B1D-4660-926B-2FAE8C181448}"/>
    <hyperlink ref="B26" location="NSWOS_demersal_over_24m" display="NSWOS demersal over 24m" xr:uid="{40F555DC-50E5-4530-90E1-1EF2309A551F}"/>
    <hyperlink ref="B27" location="NSWOS_dem_pair_trawl_seine" display="NSWOS demersal pair trawl seine" xr:uid="{F58B83B0-99C1-4DFA-88AC-190EED953739}"/>
    <hyperlink ref="B28" location="NSWOS_demersal_seiners" display="NSWOS demersal seiners" xr:uid="{CF808E08-142D-4002-A0FD-A9E6A8C0F18C}"/>
    <hyperlink ref="B29" location="NSWOS_demersal_u24m_o300kW" display="NSWOS demersal under 24m over 300kW" xr:uid="{EBF1AFB7-BA47-47D1-A5DF-16EE6B9AB9E8}"/>
    <hyperlink ref="B30" location="NSWOS_demersal_u24m_u300kW" display="NSWOS demersal under 24m under 300kW" xr:uid="{DAB28060-2EB1-4708-8A20-A448F72D5175}"/>
    <hyperlink ref="B31" location="Pots_and_traps_10_12m" display="Pots and traps 10-12m" xr:uid="{F8E0153F-FA58-4581-B64D-551A757A81E3}"/>
    <hyperlink ref="B32" location="Pots_and_traps_over_12m" display="Pots and traps over 12m" xr:uid="{6BC63A5B-6326-4589-BB07-83EC6934535B}"/>
    <hyperlink ref="B33" location="South_West_beamers_o250kW" display="South West beamers over 250kW" xr:uid="{1B7DA5CC-EF72-4C9E-9C47-1E19478925ED}"/>
    <hyperlink ref="B34" location="South_West_beamers_u250kW" display="South West beamers under 250kW" xr:uid="{EF672580-5864-4019-8C46-37CE5CBC70AA}"/>
    <hyperlink ref="B35" location="UK_scallop_dredge_over_15m" display="UK scallop dredge over 15m" xr:uid="{64B84D92-F992-4AF0-B569-1E2A89A1DFDE}"/>
    <hyperlink ref="B36" location="UK_scallop_dredge_under_15m" display="UK scallop dredge under 15m" xr:uid="{0A1FE807-73E3-45BF-8C93-F37B86596F4B}"/>
    <hyperlink ref="B37" location="U10m_demersal_trawl_seine" display="Under 10m demersal trawl/seine" xr:uid="{97CD1999-6197-4287-BD08-B61DECF2B597}"/>
    <hyperlink ref="B38" location="U10m_drift_fixed_nets" display="Under 10m drift and/or fixed nets" xr:uid="{26E36F5D-238C-4753-B35C-7A2065EE55E1}"/>
    <hyperlink ref="B39" location="U10m_pots_and_traps" display="Under 10m pots and traps" xr:uid="{2248E20E-6926-45A4-8F6A-9BCE4ADF0FCE}"/>
    <hyperlink ref="B40" location="U10m_using_hooks" display="Under 10m using hooks" xr:uid="{6FE39AA2-710C-4A0E-B1F6-EC407EE1CC0E}"/>
    <hyperlink ref="B41" location="WOS_nephrops_over_250kW" display="WOS nephrops over 250kW" xr:uid="{6EE6DAFA-1143-47B4-9904-76603FEFC421}"/>
    <hyperlink ref="B42" location="WOS_nephrops_under_250kW" display="WOS nephrops under 250kW" xr:uid="{56C6E620-2CD6-4BB7-B736-E084A85A5927}"/>
    <hyperlink ref="B10" location="Net_profit_margin" display="Net profit margin" xr:uid="{927354DF-F752-4B0D-8355-CB744F813D31}"/>
    <hyperlink ref="B9" location="Operating_profit_margin" display="Operating profit margin" xr:uid="{CC802F3F-930A-4CC9-8732-39EE420D2B1E}"/>
    <hyperlink ref="B8" location="Sample_rates" display="Sample rates" xr:uid="{B6AB5A7E-89FE-4FBC-8F06-D7C0931A9671}"/>
    <hyperlink ref="B7" location="Segmentation_Criteria" display="Segmentation Criteria" xr:uid="{F18FB318-32AB-4995-BEFD-6094A399DAB0}"/>
    <hyperlink ref="B4" location="Highlights" display="Highlights" xr:uid="{449C6E89-DE19-44EB-A756-46A28FC60D63}"/>
    <hyperlink ref="B3" location="Notes" display="Notes" xr:uid="{80A1DA09-EFAF-425D-88D4-497FDD88DF58}"/>
  </hyperlinks>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154F8-F894-48FF-A2BF-5088E435C07D}">
  <sheetPr codeName="Feuil9">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163</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15</v>
      </c>
      <c r="E3" s="28">
        <v>15</v>
      </c>
      <c r="F3" s="28">
        <v>13</v>
      </c>
      <c r="G3" s="28">
        <v>12</v>
      </c>
      <c r="H3" s="28">
        <v>13</v>
      </c>
      <c r="I3" s="28">
        <v>11</v>
      </c>
      <c r="J3" s="28">
        <v>13</v>
      </c>
      <c r="K3" s="28">
        <v>14</v>
      </c>
      <c r="L3" s="28">
        <v>14</v>
      </c>
      <c r="M3" s="28">
        <v>12</v>
      </c>
      <c r="N3" s="28">
        <v>12</v>
      </c>
      <c r="O3" s="29">
        <f t="shared" ref="O3:O41" si="0">IF(N3=0,"",IFERROR(IF(AND(N3&gt;0,D3&lt;0),"na",IF(AND(N3&lt;0,D3&lt;0),-1,1)*(N3-D3)/D3),""))</f>
        <v>-0.2</v>
      </c>
      <c r="P3" s="29">
        <f t="shared" ref="P3:P41" si="1">IF(N3=0,"",IFERROR(IF(AND(N3&gt;0,J3&lt;0),"na",IF(AND(N3&lt;0,J3&lt;0),-1,1)*(N3-J3)/J3),""))</f>
        <v>-7.6923076923076927E-2</v>
      </c>
    </row>
    <row r="4" spans="1:17" ht="18" customHeight="1" x14ac:dyDescent="0.2">
      <c r="A4" s="193"/>
      <c r="B4" s="30" t="s">
        <v>55</v>
      </c>
      <c r="C4" s="31"/>
      <c r="D4" s="31">
        <v>10011</v>
      </c>
      <c r="E4" s="31">
        <v>9622</v>
      </c>
      <c r="F4" s="31">
        <v>8015</v>
      </c>
      <c r="G4" s="31">
        <v>7276</v>
      </c>
      <c r="H4" s="31">
        <v>7913</v>
      </c>
      <c r="I4" s="31">
        <v>6835</v>
      </c>
      <c r="J4" s="31">
        <v>7969</v>
      </c>
      <c r="K4" s="31">
        <v>9405</v>
      </c>
      <c r="L4" s="31">
        <v>8971</v>
      </c>
      <c r="M4" s="31">
        <v>7165</v>
      </c>
      <c r="N4" s="31">
        <v>7165</v>
      </c>
      <c r="O4" s="29">
        <f t="shared" si="0"/>
        <v>-0.2842872839876136</v>
      </c>
      <c r="P4" s="29">
        <f t="shared" si="1"/>
        <v>-0.10089095244070774</v>
      </c>
    </row>
    <row r="5" spans="1:17" ht="18" customHeight="1" x14ac:dyDescent="0.2">
      <c r="A5" s="193"/>
      <c r="B5" s="30" t="s">
        <v>56</v>
      </c>
      <c r="C5" s="31"/>
      <c r="D5" s="31">
        <v>4971</v>
      </c>
      <c r="E5" s="31">
        <v>4765</v>
      </c>
      <c r="F5" s="31">
        <v>4068</v>
      </c>
      <c r="G5" s="31">
        <v>3834</v>
      </c>
      <c r="H5" s="31">
        <v>3881</v>
      </c>
      <c r="I5" s="31">
        <v>3394</v>
      </c>
      <c r="J5" s="31">
        <v>3579</v>
      </c>
      <c r="K5" s="31">
        <v>4356</v>
      </c>
      <c r="L5" s="31">
        <v>4227</v>
      </c>
      <c r="M5" s="31">
        <v>3500</v>
      </c>
      <c r="N5" s="31">
        <v>3500</v>
      </c>
      <c r="O5" s="29">
        <f t="shared" si="0"/>
        <v>-0.29591631462482398</v>
      </c>
      <c r="P5" s="29">
        <f t="shared" si="1"/>
        <v>-2.207320480581168E-2</v>
      </c>
      <c r="Q5" s="32"/>
    </row>
    <row r="6" spans="1:17" ht="18" customHeight="1" x14ac:dyDescent="0.2">
      <c r="A6" s="193"/>
      <c r="B6" s="30" t="s">
        <v>57</v>
      </c>
      <c r="C6" s="31"/>
      <c r="D6" s="31">
        <v>9335.0673828125</v>
      </c>
      <c r="E6" s="31">
        <v>8955.236328125</v>
      </c>
      <c r="F6" s="31">
        <v>7339.24658203125</v>
      </c>
      <c r="G6" s="31">
        <v>6894.904296875</v>
      </c>
      <c r="H6" s="31">
        <v>6922.0244140625</v>
      </c>
      <c r="I6" s="31">
        <v>6016.81787109375</v>
      </c>
      <c r="J6" s="31">
        <v>6719.5947265625</v>
      </c>
      <c r="K6" s="31">
        <v>7946.328125</v>
      </c>
      <c r="L6" s="31">
        <v>5720.42822265625</v>
      </c>
      <c r="M6" s="31">
        <v>5424.953125</v>
      </c>
      <c r="N6" s="31">
        <v>5424.953125</v>
      </c>
      <c r="O6" s="29">
        <f t="shared" si="0"/>
        <v>-0.41886299235629598</v>
      </c>
      <c r="P6" s="29">
        <f t="shared" si="1"/>
        <v>-0.19266661967645057</v>
      </c>
    </row>
    <row r="7" spans="1:17" ht="18" customHeight="1" x14ac:dyDescent="0.2">
      <c r="A7" s="193"/>
      <c r="B7" s="30" t="s">
        <v>58</v>
      </c>
      <c r="C7" s="31"/>
      <c r="D7" s="31">
        <v>7722.4677734375</v>
      </c>
      <c r="E7" s="31">
        <v>8893.0068359375</v>
      </c>
      <c r="F7" s="31">
        <v>6835.6767578125</v>
      </c>
      <c r="G7" s="31">
        <v>7683.697265625</v>
      </c>
      <c r="H7" s="31">
        <v>7957.62548828125</v>
      </c>
      <c r="I7" s="31">
        <v>6315.34375</v>
      </c>
      <c r="J7" s="31">
        <v>6570.19580078125</v>
      </c>
      <c r="K7" s="31">
        <v>6892.85205078125</v>
      </c>
      <c r="L7" s="31">
        <v>6329.7587890625</v>
      </c>
      <c r="M7" s="31">
        <v>6248.59765625</v>
      </c>
      <c r="N7" s="31">
        <v>6320.80908203125</v>
      </c>
      <c r="O7" s="29">
        <f t="shared" si="0"/>
        <v>-0.18150398713575078</v>
      </c>
      <c r="P7" s="29">
        <f t="shared" si="1"/>
        <v>-3.7957273468219303E-2</v>
      </c>
    </row>
    <row r="8" spans="1:17" ht="18" customHeight="1" x14ac:dyDescent="0.2">
      <c r="A8" s="193"/>
      <c r="B8" s="30" t="s">
        <v>59</v>
      </c>
      <c r="C8" s="33"/>
      <c r="D8" s="33">
        <f ca="1">23.386922*OFFSET(D$112,MATCH($N$1,$C$112:$C$113,0)-1,0)</f>
        <v>23.386921999999998</v>
      </c>
      <c r="E8" s="33">
        <f ca="1">27.106614*OFFSET(E$112,MATCH($N$1,$C$112:$C$113,0)-1,0)</f>
        <v>27.106614</v>
      </c>
      <c r="F8" s="33">
        <f ca="1">19.604662*OFFSET(F$112,MATCH($N$1,$C$112:$C$113,0)-1,0)</f>
        <v>19.604662000000001</v>
      </c>
      <c r="G8" s="33">
        <f ca="1">23.976216*OFFSET(G$112,MATCH($N$1,$C$112:$C$113,0)-1,0)</f>
        <v>23.976216000000001</v>
      </c>
      <c r="H8" s="33">
        <f ca="1">23.932856*OFFSET(H$112,MATCH($N$1,$C$112:$C$113,0)-1,0)</f>
        <v>23.932856000000001</v>
      </c>
      <c r="I8" s="33">
        <f ca="1">22.399192*OFFSET(I$112,MATCH($N$1,$C$112:$C$113,0)-1,0)</f>
        <v>22.399191999999999</v>
      </c>
      <c r="J8" s="33">
        <f ca="1">21.816452*OFFSET(J$112,MATCH($N$1,$C$112:$C$113,0)-1,0)</f>
        <v>21.816452000000002</v>
      </c>
      <c r="K8" s="33">
        <f ca="1">23.54582*OFFSET(K$112,MATCH($N$1,$C$112:$C$113,0)-1,0)</f>
        <v>23.545819999999999</v>
      </c>
      <c r="L8" s="33">
        <f ca="1">18.44831*OFFSET(L$112,MATCH($N$1,$C$112:$C$113,0)-1,0)</f>
        <v>18.448309999999999</v>
      </c>
      <c r="M8" s="33">
        <f ca="1">15.432728*OFFSET(M$112,MATCH($N$1,$C$112:$C$113,0)-1,0)</f>
        <v>15.432727999999999</v>
      </c>
      <c r="N8" s="33">
        <v>16.894403999999998</v>
      </c>
      <c r="O8" s="29">
        <f t="shared" ca="1" si="0"/>
        <v>-0.27761318911483951</v>
      </c>
      <c r="P8" s="29">
        <f t="shared" ca="1" si="1"/>
        <v>-0.22561175391855667</v>
      </c>
    </row>
    <row r="9" spans="1:17" ht="18" customHeight="1" x14ac:dyDescent="0.2">
      <c r="A9" s="193"/>
      <c r="B9" s="30" t="s">
        <v>60</v>
      </c>
      <c r="C9" s="31"/>
      <c r="D9" s="31">
        <v>3997</v>
      </c>
      <c r="E9" s="31">
        <v>4082</v>
      </c>
      <c r="F9" s="31">
        <v>3306</v>
      </c>
      <c r="G9" s="31">
        <v>3455</v>
      </c>
      <c r="H9" s="31">
        <v>3599</v>
      </c>
      <c r="I9" s="31">
        <v>3178</v>
      </c>
      <c r="J9" s="31">
        <v>3293</v>
      </c>
      <c r="K9" s="31">
        <v>3249</v>
      </c>
      <c r="L9" s="31">
        <v>3136</v>
      </c>
      <c r="M9" s="31">
        <v>3293</v>
      </c>
      <c r="N9" s="31">
        <v>3353</v>
      </c>
      <c r="O9" s="29">
        <f t="shared" si="0"/>
        <v>-0.16112084063047286</v>
      </c>
      <c r="P9" s="29">
        <f t="shared" si="1"/>
        <v>1.8220467658669907E-2</v>
      </c>
    </row>
    <row r="10" spans="1:17" ht="18" customHeight="1" x14ac:dyDescent="0.2">
      <c r="A10" s="193"/>
      <c r="B10" s="30" t="s">
        <v>61</v>
      </c>
      <c r="C10" s="31"/>
      <c r="D10" s="31">
        <v>306.76101684570313</v>
      </c>
      <c r="E10" s="31">
        <v>264.24237060546875</v>
      </c>
      <c r="F10" s="31">
        <v>187.18937683105469</v>
      </c>
      <c r="G10" s="31">
        <v>251.13824462890625</v>
      </c>
      <c r="H10" s="31">
        <v>192.85235595703125</v>
      </c>
      <c r="I10" s="31">
        <v>178.125244140625</v>
      </c>
      <c r="J10" s="31">
        <v>169.09756469726563</v>
      </c>
      <c r="K10" s="31">
        <v>176.35557556152344</v>
      </c>
      <c r="L10" s="31">
        <v>164.41616821289063</v>
      </c>
      <c r="M10" s="31">
        <v>204.15245056152344</v>
      </c>
      <c r="N10" s="31">
        <v>204.46684265136719</v>
      </c>
      <c r="O10" s="34">
        <f t="shared" si="0"/>
        <v>-0.33346536416584055</v>
      </c>
      <c r="P10" s="34">
        <f t="shared" si="1"/>
        <v>0.209164916227049</v>
      </c>
    </row>
    <row r="11" spans="1:17" ht="18" customHeight="1" x14ac:dyDescent="0.2">
      <c r="A11" s="194" t="s">
        <v>27</v>
      </c>
      <c r="B11" s="35" t="s">
        <v>62</v>
      </c>
      <c r="C11" s="36"/>
      <c r="D11" s="36">
        <v>35.060001373291016</v>
      </c>
      <c r="E11" s="36">
        <v>33.471332550048828</v>
      </c>
      <c r="F11" s="36">
        <v>33.782306671142578</v>
      </c>
      <c r="G11" s="36">
        <v>33.849166870117188</v>
      </c>
      <c r="H11" s="36">
        <v>32.664615631103516</v>
      </c>
      <c r="I11" s="36">
        <v>33.762725830078125</v>
      </c>
      <c r="J11" s="36">
        <v>31.341537475585938</v>
      </c>
      <c r="K11" s="36">
        <v>32.800712585449219</v>
      </c>
      <c r="L11" s="36">
        <v>31.847143173217773</v>
      </c>
      <c r="M11" s="36">
        <v>31.928333282470703</v>
      </c>
      <c r="N11" s="36">
        <v>31.928333282470703</v>
      </c>
      <c r="O11" s="29">
        <f t="shared" si="0"/>
        <v>-8.9323102343231556E-2</v>
      </c>
      <c r="P11" s="29">
        <f t="shared" si="1"/>
        <v>1.8722623526106878E-2</v>
      </c>
    </row>
    <row r="12" spans="1:17" ht="18" customHeight="1" x14ac:dyDescent="0.2">
      <c r="A12" s="195"/>
      <c r="B12" s="37" t="s">
        <v>55</v>
      </c>
      <c r="C12" s="31"/>
      <c r="D12" s="31">
        <v>667.4000244140625</v>
      </c>
      <c r="E12" s="31">
        <v>641.4666748046875</v>
      </c>
      <c r="F12" s="31">
        <v>616.5384521484375</v>
      </c>
      <c r="G12" s="31">
        <v>606.33331298828125</v>
      </c>
      <c r="H12" s="31">
        <v>608.69232177734375</v>
      </c>
      <c r="I12" s="31">
        <v>621.3636474609375</v>
      </c>
      <c r="J12" s="31">
        <v>613</v>
      </c>
      <c r="K12" s="31">
        <v>671.78570556640625</v>
      </c>
      <c r="L12" s="31">
        <v>640.78570556640625</v>
      </c>
      <c r="M12" s="31">
        <v>597.08331298828125</v>
      </c>
      <c r="N12" s="31">
        <v>597.08331298828125</v>
      </c>
      <c r="O12" s="29">
        <f t="shared" si="0"/>
        <v>-0.10535916819528908</v>
      </c>
      <c r="P12" s="29">
        <f t="shared" si="1"/>
        <v>-2.5965231666751631E-2</v>
      </c>
    </row>
    <row r="13" spans="1:17" ht="18" customHeight="1" x14ac:dyDescent="0.2">
      <c r="A13" s="195"/>
      <c r="B13" s="37" t="s">
        <v>56</v>
      </c>
      <c r="C13" s="31"/>
      <c r="D13" s="31">
        <v>331.39999389648438</v>
      </c>
      <c r="E13" s="31">
        <v>317.66665649414063</v>
      </c>
      <c r="F13" s="31">
        <v>312.92306518554688</v>
      </c>
      <c r="G13" s="31">
        <v>319.5</v>
      </c>
      <c r="H13" s="31">
        <v>298.5384521484375</v>
      </c>
      <c r="I13" s="31">
        <v>308.54544067382813</v>
      </c>
      <c r="J13" s="31">
        <v>275.30767822265625</v>
      </c>
      <c r="K13" s="31">
        <v>311.14285278320313</v>
      </c>
      <c r="L13" s="31">
        <v>301.92855834960938</v>
      </c>
      <c r="M13" s="31">
        <v>291.66665649414063</v>
      </c>
      <c r="N13" s="31">
        <v>291.66665649414063</v>
      </c>
      <c r="O13" s="29">
        <f t="shared" si="0"/>
        <v>-0.11989540776743285</v>
      </c>
      <c r="P13" s="29">
        <f t="shared" si="1"/>
        <v>5.9420712045139483E-2</v>
      </c>
    </row>
    <row r="14" spans="1:17" ht="18" customHeight="1" x14ac:dyDescent="0.2">
      <c r="A14" s="195"/>
      <c r="B14" s="37" t="s">
        <v>57</v>
      </c>
      <c r="C14" s="31"/>
      <c r="D14" s="31">
        <v>622.33782958984375</v>
      </c>
      <c r="E14" s="31">
        <v>597.0157470703125</v>
      </c>
      <c r="F14" s="31">
        <v>564.55743408203125</v>
      </c>
      <c r="G14" s="31">
        <v>574.57537841796875</v>
      </c>
      <c r="H14" s="31">
        <v>532.46343994140625</v>
      </c>
      <c r="I14" s="31">
        <v>546.98345947265625</v>
      </c>
      <c r="J14" s="31">
        <v>516.89190673828125</v>
      </c>
      <c r="K14" s="31">
        <v>567.5948486328125</v>
      </c>
      <c r="L14" s="31">
        <v>520.0389404296875</v>
      </c>
      <c r="M14" s="31">
        <v>542.49530029296875</v>
      </c>
      <c r="N14" s="31">
        <v>542.49530029296875</v>
      </c>
      <c r="O14" s="29">
        <f t="shared" si="0"/>
        <v>-0.12829451384868537</v>
      </c>
      <c r="P14" s="29">
        <f t="shared" si="1"/>
        <v>4.9533361271317619E-2</v>
      </c>
    </row>
    <row r="15" spans="1:17" ht="18" customHeight="1" x14ac:dyDescent="0.2">
      <c r="A15" s="195"/>
      <c r="B15" s="37" t="s">
        <v>58</v>
      </c>
      <c r="C15" s="33"/>
      <c r="D15" s="33">
        <v>514.8311767578125</v>
      </c>
      <c r="E15" s="33">
        <v>592.86712646484375</v>
      </c>
      <c r="F15" s="33">
        <v>525.8212890625</v>
      </c>
      <c r="G15" s="33">
        <v>640.30810546875</v>
      </c>
      <c r="H15" s="33">
        <v>612.125</v>
      </c>
      <c r="I15" s="33">
        <v>574.1221923828125</v>
      </c>
      <c r="J15" s="33">
        <v>505.399658203125</v>
      </c>
      <c r="K15" s="33">
        <v>492.34658813476563</v>
      </c>
      <c r="L15" s="33">
        <v>452.1256103515625</v>
      </c>
      <c r="M15" s="33">
        <v>520.7164306640625</v>
      </c>
      <c r="N15" s="33">
        <v>526.73406982421875</v>
      </c>
      <c r="O15" s="29">
        <f t="shared" si="0"/>
        <v>2.3119992735027434E-2</v>
      </c>
      <c r="P15" s="29">
        <f t="shared" si="1"/>
        <v>4.22129522147782E-2</v>
      </c>
    </row>
    <row r="16" spans="1:17" ht="18" customHeight="1" x14ac:dyDescent="0.2">
      <c r="A16" s="195"/>
      <c r="B16" s="37" t="s">
        <v>63</v>
      </c>
      <c r="C16" s="33"/>
      <c r="D16" s="33">
        <f ca="1">1559.128125*OFFSET(D$112,MATCH($N$1,$C$112:$C$113,0)-1,0)</f>
        <v>1559.128125</v>
      </c>
      <c r="E16" s="33">
        <f ca="1">1807.107625*OFFSET(E$112,MATCH($N$1,$C$112:$C$113,0)-1,0)</f>
        <v>1807.1076250000001</v>
      </c>
      <c r="F16" s="33">
        <f ca="1">1508.051*OFFSET(F$112,MATCH($N$1,$C$112:$C$113,0)-1,0)</f>
        <v>1508.0509999999999</v>
      </c>
      <c r="G16" s="33">
        <f ca="1">1998.018*OFFSET(G$112,MATCH($N$1,$C$112:$C$113,0)-1,0)</f>
        <v>1998.018</v>
      </c>
      <c r="H16" s="33">
        <f ca="1">1840.988875*OFFSET(H$112,MATCH($N$1,$C$112:$C$113,0)-1,0)</f>
        <v>1840.988875</v>
      </c>
      <c r="I16" s="33">
        <f ca="1">2036.290125*OFFSET(I$112,MATCH($N$1,$C$112:$C$113,0)-1,0)</f>
        <v>2036.290125</v>
      </c>
      <c r="J16" s="33">
        <f ca="1">1678.188625*OFFSET(J$112,MATCH($N$1,$C$112:$C$113,0)-1,0)</f>
        <v>1678.188625</v>
      </c>
      <c r="K16" s="33">
        <f ca="1">1681.84425*OFFSET(K$112,MATCH($N$1,$C$112:$C$113,0)-1,0)</f>
        <v>1681.8442500000001</v>
      </c>
      <c r="L16" s="33">
        <f ca="1">1317.736375*OFFSET(L$112,MATCH($N$1,$C$112:$C$113,0)-1,0)</f>
        <v>1317.736375</v>
      </c>
      <c r="M16" s="33">
        <f ca="1">1286.06075*OFFSET(M$112,MATCH($N$1,$C$112:$C$113,0)-1,0)</f>
        <v>1286.0607500000001</v>
      </c>
      <c r="N16" s="33">
        <v>1407.8668749999999</v>
      </c>
      <c r="O16" s="29">
        <f t="shared" ca="1" si="0"/>
        <v>-9.7016561740235444E-2</v>
      </c>
      <c r="P16" s="29">
        <f t="shared" ca="1" si="1"/>
        <v>-0.16107947937020492</v>
      </c>
    </row>
    <row r="17" spans="1:16" ht="18" customHeight="1" x14ac:dyDescent="0.2">
      <c r="A17" s="195"/>
      <c r="B17" s="37" t="s">
        <v>60</v>
      </c>
      <c r="C17" s="31"/>
      <c r="D17" s="31">
        <v>266.4666748046875</v>
      </c>
      <c r="E17" s="31">
        <v>272.13333129882813</v>
      </c>
      <c r="F17" s="31">
        <v>254.30769348144531</v>
      </c>
      <c r="G17" s="31">
        <v>287.91665649414063</v>
      </c>
      <c r="H17" s="31">
        <v>276.84616088867188</v>
      </c>
      <c r="I17" s="31">
        <v>288.90908813476563</v>
      </c>
      <c r="J17" s="31">
        <v>253.30769348144531</v>
      </c>
      <c r="K17" s="31">
        <v>232.07142639160156</v>
      </c>
      <c r="L17" s="31">
        <v>224</v>
      </c>
      <c r="M17" s="31">
        <v>274.41665649414063</v>
      </c>
      <c r="N17" s="31">
        <v>279.41665649414063</v>
      </c>
      <c r="O17" s="29">
        <f t="shared" si="0"/>
        <v>4.8598879011587826E-2</v>
      </c>
      <c r="P17" s="29">
        <f t="shared" si="1"/>
        <v>0.10307212802680936</v>
      </c>
    </row>
    <row r="18" spans="1:16" ht="18" customHeight="1" x14ac:dyDescent="0.2">
      <c r="A18" s="195"/>
      <c r="B18" s="37" t="s">
        <v>64</v>
      </c>
      <c r="C18" s="31"/>
      <c r="D18" s="31">
        <v>18.866666793823242</v>
      </c>
      <c r="E18" s="31">
        <v>16.733333587646484</v>
      </c>
      <c r="F18" s="31">
        <v>18.230770111083984</v>
      </c>
      <c r="G18" s="31">
        <v>18.25</v>
      </c>
      <c r="H18" s="31">
        <v>21.538461685180664</v>
      </c>
      <c r="I18" s="31">
        <v>22</v>
      </c>
      <c r="J18" s="31">
        <v>25.153846740722656</v>
      </c>
      <c r="K18" s="31">
        <v>23.214284896850586</v>
      </c>
      <c r="L18" s="31">
        <v>24</v>
      </c>
      <c r="M18" s="31">
        <v>22.799999237060547</v>
      </c>
      <c r="N18" s="31">
        <v>23.799999237060547</v>
      </c>
      <c r="O18" s="29">
        <f t="shared" si="0"/>
        <v>0.26148404999935804</v>
      </c>
      <c r="P18" s="29">
        <f t="shared" si="1"/>
        <v>-5.3822682376064045E-2</v>
      </c>
    </row>
    <row r="19" spans="1:16" ht="18" customHeight="1" x14ac:dyDescent="0.2">
      <c r="A19" s="195"/>
      <c r="B19" s="37" t="s">
        <v>65</v>
      </c>
      <c r="C19" s="38"/>
      <c r="D19" s="38">
        <v>1.9320658445358276</v>
      </c>
      <c r="E19" s="38">
        <v>2.1785905361175537</v>
      </c>
      <c r="F19" s="38">
        <v>2.0676577091217041</v>
      </c>
      <c r="G19" s="38">
        <v>2.223935604095459</v>
      </c>
      <c r="H19" s="38">
        <v>2.2110655307769775</v>
      </c>
      <c r="I19" s="38">
        <v>1.9872070550918579</v>
      </c>
      <c r="J19" s="38">
        <v>1.9952006340026855</v>
      </c>
      <c r="K19" s="38">
        <v>2.121530294418335</v>
      </c>
      <c r="L19" s="38">
        <v>2.0184178352355957</v>
      </c>
      <c r="M19" s="38">
        <v>1.897539496421814</v>
      </c>
      <c r="N19" s="38">
        <v>1.8851205110549927</v>
      </c>
      <c r="O19" s="29">
        <f t="shared" si="0"/>
        <v>-2.4297998752787549E-2</v>
      </c>
      <c r="P19" s="29">
        <f t="shared" si="1"/>
        <v>-5.5172457883022455E-2</v>
      </c>
    </row>
    <row r="20" spans="1:16" ht="18" customHeight="1" x14ac:dyDescent="0.2">
      <c r="A20" s="196"/>
      <c r="B20" s="39" t="s">
        <v>28</v>
      </c>
      <c r="C20" s="40"/>
      <c r="D20" s="40">
        <f ca="1">3028*OFFSET(D$112,MATCH($N$1,$C$112:$C$113,0)-1,0)</f>
        <v>3028</v>
      </c>
      <c r="E20" s="40">
        <f ca="1">3048*OFFSET(E$112,MATCH($N$1,$C$112:$C$113,0)-1,0)</f>
        <v>3048</v>
      </c>
      <c r="F20" s="40">
        <f ca="1">2868*OFFSET(F$112,MATCH($N$1,$C$112:$C$113,0)-1,0)</f>
        <v>2868</v>
      </c>
      <c r="G20" s="40">
        <f ca="1">3120*OFFSET(G$112,MATCH($N$1,$C$112:$C$113,0)-1,0)</f>
        <v>3120</v>
      </c>
      <c r="H20" s="40">
        <f ca="1">3008*OFFSET(H$112,MATCH($N$1,$C$112:$C$113,0)-1,0)</f>
        <v>3008</v>
      </c>
      <c r="I20" s="40">
        <f ca="1">3547*OFFSET(I$112,MATCH($N$1,$C$112:$C$113,0)-1,0)</f>
        <v>3547</v>
      </c>
      <c r="J20" s="40">
        <f ca="1">3321*OFFSET(J$112,MATCH($N$1,$C$112:$C$113,0)-1,0)</f>
        <v>3321</v>
      </c>
      <c r="K20" s="40">
        <f ca="1">3416*OFFSET(K$112,MATCH($N$1,$C$112:$C$113,0)-1,0)</f>
        <v>3416</v>
      </c>
      <c r="L20" s="40">
        <f ca="1">2915*OFFSET(L$112,MATCH($N$1,$C$112:$C$113,0)-1,0)</f>
        <v>2915</v>
      </c>
      <c r="M20" s="40">
        <f ca="1">2470*OFFSET(M$112,MATCH($N$1,$C$112:$C$113,0)-1,0)</f>
        <v>2470</v>
      </c>
      <c r="N20" s="40">
        <v>2673</v>
      </c>
      <c r="O20" s="34">
        <f t="shared" ca="1" si="0"/>
        <v>-0.11723910171730516</v>
      </c>
      <c r="P20" s="34">
        <f t="shared" ca="1" si="1"/>
        <v>-0.1951219512195122</v>
      </c>
    </row>
    <row r="21" spans="1:16" ht="18" customHeight="1" x14ac:dyDescent="0.2">
      <c r="A21" s="197" t="s">
        <v>29</v>
      </c>
      <c r="B21" s="35" t="s">
        <v>66</v>
      </c>
      <c r="C21" s="41"/>
      <c r="D21" s="41">
        <v>2.9151586121683546</v>
      </c>
      <c r="E21" s="41">
        <v>3.4286569454809737</v>
      </c>
      <c r="F21" s="41">
        <v>3.5406512618856607</v>
      </c>
      <c r="G21" s="41">
        <v>3.6766564581479142</v>
      </c>
      <c r="H21" s="41">
        <v>3.5715711831750334</v>
      </c>
      <c r="I21" s="41">
        <v>3.191630936465613</v>
      </c>
      <c r="J21" s="41">
        <v>3.2423602281530273</v>
      </c>
      <c r="K21" s="41">
        <v>3.2534662370544849</v>
      </c>
      <c r="L21" s="41">
        <v>3.287018245050878</v>
      </c>
      <c r="M21" s="41">
        <v>3.1362995361500929</v>
      </c>
      <c r="N21" s="41">
        <v>3.1474165063749902</v>
      </c>
      <c r="O21" s="29">
        <f t="shared" si="0"/>
        <v>7.9672472447006024E-2</v>
      </c>
      <c r="P21" s="29">
        <f t="shared" si="1"/>
        <v>-2.9282286697712396E-2</v>
      </c>
    </row>
    <row r="22" spans="1:16" ht="18" customHeight="1" x14ac:dyDescent="0.2">
      <c r="A22" s="197"/>
      <c r="B22" s="37" t="s">
        <v>67</v>
      </c>
      <c r="C22" s="38"/>
      <c r="D22" s="38">
        <f ca="1">8.82834215614289*OFFSET(D$112,MATCH($N$1,$C$112:$C$113,0)-1,0)</f>
        <v>8.8283421561428899</v>
      </c>
      <c r="E22" s="38">
        <f ca="1">10.4508275684523*OFFSET(E$112,MATCH($N$1,$C$112:$C$113,0)-1,0)</f>
        <v>10.450827568452301</v>
      </c>
      <c r="F22" s="38">
        <f ca="1">10.1545578073832*OFFSET(F$112,MATCH($N$1,$C$112:$C$113,0)-1,0)</f>
        <v>10.154557807383201</v>
      </c>
      <c r="G22" s="38">
        <f ca="1">11.472642186558*OFFSET(G$112,MATCH($N$1,$C$112:$C$113,0)-1,0)</f>
        <v>11.472642186558</v>
      </c>
      <c r="H22" s="38">
        <f ca="1">10.7416341670342*OFFSET(H$112,MATCH($N$1,$C$112:$C$113,0)-1,0)</f>
        <v>10.741634167034199</v>
      </c>
      <c r="I22" s="38">
        <f ca="1">11.3200406547531*OFFSET(I$112,MATCH($N$1,$C$112:$C$113,0)-1,0)</f>
        <v>11.3200406547531</v>
      </c>
      <c r="J22" s="38">
        <f ca="1">10.7663152610442*OFFSET(J$112,MATCH($N$1,$C$112:$C$113,0)-1,0)</f>
        <v>10.7663152610442</v>
      </c>
      <c r="K22" s="38">
        <f ca="1">11.1137633838167*OFFSET(K$112,MATCH($N$1,$C$112:$C$113,0)-1,0)</f>
        <v>11.1137633838167</v>
      </c>
      <c r="L22" s="38">
        <f ca="1">9.58013305953668*OFFSET(L$112,MATCH($N$1,$C$112:$C$113,0)-1,0)</f>
        <v>9.5801330595366796</v>
      </c>
      <c r="M22" s="38">
        <f ca="1">7.74600434355799*OFFSET(M$112,MATCH($N$1,$C$112:$C$113,0)-1,0)</f>
        <v>7.7460043435579902</v>
      </c>
      <c r="N22" s="38">
        <v>8.4124868600816587</v>
      </c>
      <c r="O22" s="29">
        <f t="shared" ca="1" si="0"/>
        <v>-4.7104573962606665E-2</v>
      </c>
      <c r="P22" s="29">
        <f t="shared" ca="1" si="1"/>
        <v>-0.21862896858309619</v>
      </c>
    </row>
    <row r="23" spans="1:16" ht="18" customHeight="1" x14ac:dyDescent="0.2">
      <c r="A23" s="197"/>
      <c r="B23" s="37" t="s">
        <v>11</v>
      </c>
      <c r="C23" s="38"/>
      <c r="D23" s="38">
        <f ca="1">6.9692814792398*OFFSET(D$112,MATCH($N$1,$C$112:$C$113,0)-1,0)</f>
        <v>6.9692814792398003</v>
      </c>
      <c r="E23" s="38">
        <f ca="1">10.5637535831992*OFFSET(E$112,MATCH($N$1,$C$112:$C$113,0)-1,0)</f>
        <v>10.563753583199199</v>
      </c>
      <c r="F23" s="38">
        <f ca="1">10.2807752607283*OFFSET(F$112,MATCH($N$1,$C$112:$C$113,0)-1,0)</f>
        <v>10.2807752607283</v>
      </c>
      <c r="G23" s="38">
        <f ca="1">11.369047934132*OFFSET(G$112,MATCH($N$1,$C$112:$C$113,0)-1,0)</f>
        <v>11.369047934132</v>
      </c>
      <c r="H23" s="38">
        <f ca="1">10.1087363073513*OFFSET(H$112,MATCH($N$1,$C$112:$C$113,0)-1,0)</f>
        <v>10.1087363073513</v>
      </c>
      <c r="I23" s="38">
        <f ca="1">7.59128849395959*OFFSET(I$112,MATCH($N$1,$C$112:$C$113,0)-1,0)</f>
        <v>7.5912884939595902</v>
      </c>
      <c r="J23" s="38">
        <f ca="1">10.1441660712338*OFFSET(J$112,MATCH($N$1,$C$112:$C$113,0)-1,0)</f>
        <v>10.1441660712338</v>
      </c>
      <c r="K23" s="38">
        <f ca="1">10.7556744090233*OFFSET(K$112,MATCH($N$1,$C$112:$C$113,0)-1,0)</f>
        <v>10.7556744090233</v>
      </c>
      <c r="L23" s="38">
        <f ca="1">8.9548575448673*OFFSET(L$112,MATCH($N$1,$C$112:$C$113,0)-1,0)</f>
        <v>8.9548575448673002</v>
      </c>
      <c r="M23" s="38">
        <f ca="1">7.57322016490726*OFFSET(M$112,MATCH($N$1,$C$112:$C$113,0)-1,0)</f>
        <v>7.5732201649072604</v>
      </c>
      <c r="N23" s="38">
        <v>8.2077332086922006</v>
      </c>
      <c r="O23" s="29">
        <f t="shared" ca="1" si="0"/>
        <v>0.17770149378261141</v>
      </c>
      <c r="P23" s="29">
        <f t="shared" ca="1" si="1"/>
        <v>-0.19089128164342811</v>
      </c>
    </row>
    <row r="24" spans="1:16" ht="18" customHeight="1" x14ac:dyDescent="0.2">
      <c r="A24" s="197"/>
      <c r="B24" s="37" t="s">
        <v>12</v>
      </c>
      <c r="C24" s="38"/>
      <c r="D24" s="38">
        <f ca="1">1.88400358108776*OFFSET(D$112,MATCH($N$1,$C$112:$C$113,0)-1,0)</f>
        <v>1.88400358108776</v>
      </c>
      <c r="E24" s="38">
        <f ca="1">-0.0833990661701446*OFFSET(E$112,MATCH($N$1,$C$112:$C$113,0)-1,0)</f>
        <v>-8.3399066170144601E-2</v>
      </c>
      <c r="F24" s="38">
        <f ca="1">-0.0975275655273091*OFFSET(F$112,MATCH($N$1,$C$112:$C$113,0)-1,0)</f>
        <v>-9.7527565527309096E-2</v>
      </c>
      <c r="G24" s="38">
        <f ca="1">0.247000382202636*OFFSET(G$112,MATCH($N$1,$C$112:$C$113,0)-1,0)</f>
        <v>0.24700038220263601</v>
      </c>
      <c r="H24" s="38">
        <f ca="1">0.731468827794219*OFFSET(H$112,MATCH($N$1,$C$112:$C$113,0)-1,0)</f>
        <v>0.73146882779421896</v>
      </c>
      <c r="I24" s="38">
        <f ca="1">3.7607349125776*OFFSET(I$112,MATCH($N$1,$C$112:$C$113,0)-1,0)</f>
        <v>3.7607349125776</v>
      </c>
      <c r="J24" s="38">
        <f ca="1">0.801523235513941*OFFSET(J$112,MATCH($N$1,$C$112:$C$113,0)-1,0)</f>
        <v>0.801523235513941</v>
      </c>
      <c r="K24" s="38">
        <f ca="1">0.389488927901807*OFFSET(K$112,MATCH($N$1,$C$112:$C$113,0)-1,0)</f>
        <v>0.389488927901807</v>
      </c>
      <c r="L24" s="38">
        <f ca="1">0.64332015203234*OFFSET(L$112,MATCH($N$1,$C$112:$C$113,0)-1,0)</f>
        <v>0.64332015203234005</v>
      </c>
      <c r="M24" s="38">
        <f ca="1">0.230871485022705*OFFSET(M$112,MATCH($N$1,$C$112:$C$113,0)-1,0)</f>
        <v>0.23087148502270499</v>
      </c>
      <c r="N24" s="38">
        <v>0.2285216311602164</v>
      </c>
      <c r="O24" s="29">
        <f t="shared" ca="1" si="0"/>
        <v>-0.87870424798859692</v>
      </c>
      <c r="P24" s="29">
        <f t="shared" ca="1" si="1"/>
        <v>-0.71489082158212536</v>
      </c>
    </row>
    <row r="25" spans="1:16" ht="18" customHeight="1" x14ac:dyDescent="0.2">
      <c r="A25" s="197"/>
      <c r="B25" s="37" t="s">
        <v>68</v>
      </c>
      <c r="C25" s="33"/>
      <c r="D25" s="33">
        <f ca="1">76.24*OFFSET(D$112,MATCH($N$1,$C$112:$C$113,0)-1,0)</f>
        <v>76.239999999999995</v>
      </c>
      <c r="E25" s="33">
        <f ca="1">102.58*OFFSET(E$112,MATCH($N$1,$C$112:$C$113,0)-1,0)</f>
        <v>102.58</v>
      </c>
      <c r="F25" s="33">
        <f ca="1">104.74*OFFSET(F$112,MATCH($N$1,$C$112:$C$113,0)-1,0)</f>
        <v>104.74</v>
      </c>
      <c r="G25" s="33">
        <f ca="1">95.47*OFFSET(G$112,MATCH($N$1,$C$112:$C$113,0)-1,0)</f>
        <v>95.47</v>
      </c>
      <c r="H25" s="33">
        <f ca="1">124.1*OFFSET(H$112,MATCH($N$1,$C$112:$C$113,0)-1,0)</f>
        <v>124.1</v>
      </c>
      <c r="I25" s="33">
        <f ca="1">125.75*OFFSET(I$112,MATCH($N$1,$C$112:$C$113,0)-1,0)</f>
        <v>125.75</v>
      </c>
      <c r="J25" s="33">
        <f ca="1">129.02*OFFSET(J$112,MATCH($N$1,$C$112:$C$113,0)-1,0)</f>
        <v>129.02000000000001</v>
      </c>
      <c r="K25" s="33">
        <f ca="1">133.51*OFFSET(K$112,MATCH($N$1,$C$112:$C$113,0)-1,0)</f>
        <v>133.51</v>
      </c>
      <c r="L25" s="33">
        <f ca="1">112.2*OFFSET(L$112,MATCH($N$1,$C$112:$C$113,0)-1,0)</f>
        <v>112.2</v>
      </c>
      <c r="M25" s="33">
        <f ca="1">75.6*OFFSET(M$112,MATCH($N$1,$C$112:$C$113,0)-1,0)</f>
        <v>75.599999999999994</v>
      </c>
      <c r="N25" s="33">
        <v>82.63</v>
      </c>
      <c r="O25" s="29">
        <f t="shared" ca="1" si="0"/>
        <v>8.3814270724029388E-2</v>
      </c>
      <c r="P25" s="29">
        <f t="shared" ca="1" si="1"/>
        <v>-0.35955665788249891</v>
      </c>
    </row>
    <row r="26" spans="1:16" ht="18" customHeight="1" x14ac:dyDescent="0.2">
      <c r="A26" s="198"/>
      <c r="B26" s="37" t="s">
        <v>69</v>
      </c>
      <c r="C26" s="33"/>
      <c r="D26" s="33">
        <f ca="1">16.27*OFFSET(D$112,MATCH($N$1,$C$112:$C$113,0)-1,0)</f>
        <v>16.27</v>
      </c>
      <c r="E26" s="33">
        <f ca="1">-0.82*OFFSET(E$112,MATCH($N$1,$C$112:$C$113,0)-1,0)</f>
        <v>-0.82</v>
      </c>
      <c r="F26" s="33">
        <f ca="1">-1.01*OFFSET(F$112,MATCH($N$1,$C$112:$C$113,0)-1,0)</f>
        <v>-1.01</v>
      </c>
      <c r="G26" s="33">
        <f ca="1">2.05*OFFSET(G$112,MATCH($N$1,$C$112:$C$113,0)-1,0)</f>
        <v>2.0499999999999998</v>
      </c>
      <c r="H26" s="33">
        <f ca="1">8.45*OFFSET(H$112,MATCH($N$1,$C$112:$C$113,0)-1,0)</f>
        <v>8.4499999999999993</v>
      </c>
      <c r="I26" s="33">
        <f ca="1">41.78*OFFSET(I$112,MATCH($N$1,$C$112:$C$113,0)-1,0)</f>
        <v>41.78</v>
      </c>
      <c r="J26" s="33">
        <f ca="1">9.6*OFFSET(J$112,MATCH($N$1,$C$112:$C$113,0)-1,0)</f>
        <v>9.6</v>
      </c>
      <c r="K26" s="33">
        <f ca="1">4.68*OFFSET(K$112,MATCH($N$1,$C$112:$C$113,0)-1,0)</f>
        <v>4.68</v>
      </c>
      <c r="L26" s="33">
        <f ca="1">7.54*OFFSET(L$112,MATCH($N$1,$C$112:$C$113,0)-1,0)</f>
        <v>7.54</v>
      </c>
      <c r="M26" s="33">
        <f ca="1">2.25*OFFSET(M$112,MATCH($N$1,$C$112:$C$113,0)-1,0)</f>
        <v>2.25</v>
      </c>
      <c r="N26" s="33">
        <v>2.2400000000000002</v>
      </c>
      <c r="O26" s="34">
        <f t="shared" ca="1" si="0"/>
        <v>-0.86232329440688382</v>
      </c>
      <c r="P26" s="34">
        <f t="shared" ca="1" si="1"/>
        <v>-0.76666666666666661</v>
      </c>
    </row>
    <row r="27" spans="1:16" ht="18" customHeight="1" x14ac:dyDescent="0.2">
      <c r="A27" s="187" t="s">
        <v>30</v>
      </c>
      <c r="B27" s="35" t="s">
        <v>63</v>
      </c>
      <c r="C27" s="36"/>
      <c r="D27" s="36">
        <f ca="1">1559.1*OFFSET(D$112,MATCH($N$1,$C$112:$C$113,0)-1,0)</f>
        <v>1559.1</v>
      </c>
      <c r="E27" s="36">
        <f ca="1">1807.1*OFFSET(E$112,MATCH($N$1,$C$112:$C$113,0)-1,0)</f>
        <v>1807.1</v>
      </c>
      <c r="F27" s="36">
        <f ca="1">1508.1*OFFSET(F$112,MATCH($N$1,$C$112:$C$113,0)-1,0)</f>
        <v>1508.1</v>
      </c>
      <c r="G27" s="36">
        <f ca="1">1998*OFFSET(G$112,MATCH($N$1,$C$112:$C$113,0)-1,0)</f>
        <v>1998</v>
      </c>
      <c r="H27" s="36">
        <f ca="1">1841*OFFSET(H$112,MATCH($N$1,$C$112:$C$113,0)-1,0)</f>
        <v>1841</v>
      </c>
      <c r="I27" s="36">
        <f ca="1">2036.3*OFFSET(I$112,MATCH($N$1,$C$112:$C$113,0)-1,0)</f>
        <v>2036.3</v>
      </c>
      <c r="J27" s="36">
        <f ca="1">1678.2*OFFSET(J$112,MATCH($N$1,$C$112:$C$113,0)-1,0)</f>
        <v>1678.2</v>
      </c>
      <c r="K27" s="36">
        <f ca="1">1681.8*OFFSET(K$112,MATCH($N$1,$C$112:$C$113,0)-1,0)</f>
        <v>1681.8</v>
      </c>
      <c r="L27" s="36">
        <f ca="1">1317.7*OFFSET(L$112,MATCH($N$1,$C$112:$C$113,0)-1,0)</f>
        <v>1317.7</v>
      </c>
      <c r="M27" s="36">
        <f ca="1">1286.1*OFFSET(M$112,MATCH($N$1,$C$112:$C$113,0)-1,0)</f>
        <v>1286.0999999999999</v>
      </c>
      <c r="N27" s="36">
        <v>1407.9</v>
      </c>
      <c r="O27" s="29">
        <f t="shared" ca="1" si="0"/>
        <v>-9.6979026361362214E-2</v>
      </c>
      <c r="P27" s="29">
        <f t="shared" ca="1" si="1"/>
        <v>-0.16106542724347511</v>
      </c>
    </row>
    <row r="28" spans="1:16" ht="18" customHeight="1" x14ac:dyDescent="0.2">
      <c r="A28" s="199"/>
      <c r="B28" s="37" t="s">
        <v>70</v>
      </c>
      <c r="C28" s="33"/>
      <c r="D28" s="33">
        <f ca="1">4.4*OFFSET(D$112,MATCH($N$1,$C$112:$C$113,0)-1,0)</f>
        <v>4.4000000000000004</v>
      </c>
      <c r="E28" s="33">
        <f ca="1">5.1*OFFSET(E$112,MATCH($N$1,$C$112:$C$113,0)-1,0)</f>
        <v>5.0999999999999996</v>
      </c>
      <c r="F28" s="33">
        <f ca="1">4.3*OFFSET(F$112,MATCH($N$1,$C$112:$C$113,0)-1,0)</f>
        <v>4.3</v>
      </c>
      <c r="G28" s="33">
        <f ca="1">25*OFFSET(G$112,MATCH($N$1,$C$112:$C$113,0)-1,0)</f>
        <v>25</v>
      </c>
      <c r="H28" s="33">
        <f ca="1">16.9*OFFSET(H$112,MATCH($N$1,$C$112:$C$113,0)-1,0)</f>
        <v>16.899999999999999</v>
      </c>
      <c r="I28" s="33">
        <f ca="1">5.8*OFFSET(I$112,MATCH($N$1,$C$112:$C$113,0)-1,0)</f>
        <v>5.8</v>
      </c>
      <c r="J28" s="33">
        <f ca="1">28*OFFSET(J$112,MATCH($N$1,$C$112:$C$113,0)-1,0)</f>
        <v>28</v>
      </c>
      <c r="K28" s="33">
        <f ca="1">4.8*OFFSET(K$112,MATCH($N$1,$C$112:$C$113,0)-1,0)</f>
        <v>4.8</v>
      </c>
      <c r="L28" s="33">
        <f ca="1">2.5*OFFSET(L$112,MATCH($N$1,$C$112:$C$113,0)-1,0)</f>
        <v>2.5</v>
      </c>
      <c r="M28" s="33">
        <f ca="1">9.6*OFFSET(M$112,MATCH($N$1,$C$112:$C$113,0)-1,0)</f>
        <v>9.6</v>
      </c>
      <c r="N28" s="33">
        <v>4</v>
      </c>
      <c r="O28" s="29">
        <f t="shared" ca="1" si="0"/>
        <v>-9.0909090909090981E-2</v>
      </c>
      <c r="P28" s="29">
        <f t="shared" ca="1" si="1"/>
        <v>-0.8571428571428571</v>
      </c>
    </row>
    <row r="29" spans="1:16" ht="18" customHeight="1" x14ac:dyDescent="0.2">
      <c r="A29" s="199"/>
      <c r="B29" s="42" t="s">
        <v>71</v>
      </c>
      <c r="C29" s="43"/>
      <c r="D29" s="43">
        <f ca="1">1563.5*OFFSET(D$112,MATCH($N$1,$C$112:$C$113,0)-1,0)</f>
        <v>1563.5</v>
      </c>
      <c r="E29" s="43">
        <f ca="1">1812.2*OFFSET(E$112,MATCH($N$1,$C$112:$C$113,0)-1,0)</f>
        <v>1812.2</v>
      </c>
      <c r="F29" s="43">
        <f ca="1">1512.3*OFFSET(F$112,MATCH($N$1,$C$112:$C$113,0)-1,0)</f>
        <v>1512.3</v>
      </c>
      <c r="G29" s="43">
        <f ca="1">2023*OFFSET(G$112,MATCH($N$1,$C$112:$C$113,0)-1,0)</f>
        <v>2023</v>
      </c>
      <c r="H29" s="43">
        <f ca="1">1857.9*OFFSET(H$112,MATCH($N$1,$C$112:$C$113,0)-1,0)</f>
        <v>1857.9</v>
      </c>
      <c r="I29" s="43">
        <f ca="1">2042*OFFSET(I$112,MATCH($N$1,$C$112:$C$113,0)-1,0)</f>
        <v>2042</v>
      </c>
      <c r="J29" s="43">
        <f ca="1">1706.1*OFFSET(J$112,MATCH($N$1,$C$112:$C$113,0)-1,0)</f>
        <v>1706.1</v>
      </c>
      <c r="K29" s="43">
        <f ca="1">1686.6*OFFSET(K$112,MATCH($N$1,$C$112:$C$113,0)-1,0)</f>
        <v>1686.6</v>
      </c>
      <c r="L29" s="43">
        <f ca="1">1320.2*OFFSET(L$112,MATCH($N$1,$C$112:$C$113,0)-1,0)</f>
        <v>1320.2</v>
      </c>
      <c r="M29" s="43">
        <f ca="1">1295.7*OFFSET(M$112,MATCH($N$1,$C$112:$C$113,0)-1,0)</f>
        <v>1295.7</v>
      </c>
      <c r="N29" s="43">
        <v>1411.8</v>
      </c>
      <c r="O29" s="29">
        <f t="shared" ca="1" si="0"/>
        <v>-9.702590342181007E-2</v>
      </c>
      <c r="P29" s="29">
        <f t="shared" ca="1" si="1"/>
        <v>-0.17249868120274309</v>
      </c>
    </row>
    <row r="30" spans="1:16" ht="18" customHeight="1" x14ac:dyDescent="0.2">
      <c r="A30" s="199"/>
      <c r="B30" s="37" t="s">
        <v>72</v>
      </c>
      <c r="C30" s="33"/>
      <c r="D30" s="33">
        <f ca="1">472.2*OFFSET(D$112,MATCH($N$1,$C$112:$C$113,0)-1,0)</f>
        <v>472.2</v>
      </c>
      <c r="E30" s="33">
        <f ca="1">472.4*OFFSET(E$112,MATCH($N$1,$C$112:$C$113,0)-1,0)</f>
        <v>472.4</v>
      </c>
      <c r="F30" s="33">
        <f ca="1">398.8*OFFSET(F$112,MATCH($N$1,$C$112:$C$113,0)-1,0)</f>
        <v>398.8</v>
      </c>
      <c r="G30" s="33">
        <f ca="1">420.7*OFFSET(G$112,MATCH($N$1,$C$112:$C$113,0)-1,0)</f>
        <v>420.7</v>
      </c>
      <c r="H30" s="33">
        <f ca="1">270.9*OFFSET(H$112,MATCH($N$1,$C$112:$C$113,0)-1,0)</f>
        <v>270.89999999999998</v>
      </c>
      <c r="I30" s="33">
        <f ca="1">263.8*OFFSET(I$112,MATCH($N$1,$C$112:$C$113,0)-1,0)</f>
        <v>263.8</v>
      </c>
      <c r="J30" s="33">
        <f ca="1">270*OFFSET(J$112,MATCH($N$1,$C$112:$C$113,0)-1,0)</f>
        <v>270</v>
      </c>
      <c r="K30" s="33">
        <f ca="1">302.7*OFFSET(K$112,MATCH($N$1,$C$112:$C$113,0)-1,0)</f>
        <v>302.7</v>
      </c>
      <c r="L30" s="33">
        <f ca="1">277.2*OFFSET(L$112,MATCH($N$1,$C$112:$C$113,0)-1,0)</f>
        <v>277.2</v>
      </c>
      <c r="M30" s="33">
        <f ca="1">255.6*OFFSET(M$112,MATCH($N$1,$C$112:$C$113,0)-1,0)</f>
        <v>255.6</v>
      </c>
      <c r="N30" s="33">
        <v>323.60000000000002</v>
      </c>
      <c r="O30" s="29">
        <f t="shared" ca="1" si="0"/>
        <v>-0.31469716221939847</v>
      </c>
      <c r="P30" s="29">
        <f t="shared" ca="1" si="1"/>
        <v>0.19851851851851859</v>
      </c>
    </row>
    <row r="31" spans="1:16" ht="18" customHeight="1" x14ac:dyDescent="0.2">
      <c r="A31" s="199"/>
      <c r="B31" s="37" t="s">
        <v>73</v>
      </c>
      <c r="C31" s="33"/>
      <c r="D31" s="33">
        <f ca="1">166.4*OFFSET(D$112,MATCH($N$1,$C$112:$C$113,0)-1,0)</f>
        <v>166.4</v>
      </c>
      <c r="E31" s="33">
        <f ca="1">324.6*OFFSET(E$112,MATCH($N$1,$C$112:$C$113,0)-1,0)</f>
        <v>324.60000000000002</v>
      </c>
      <c r="F31" s="33">
        <f ca="1">268.7*OFFSET(F$112,MATCH($N$1,$C$112:$C$113,0)-1,0)</f>
        <v>268.7</v>
      </c>
      <c r="G31" s="33">
        <f ca="1">423.1*OFFSET(G$112,MATCH($N$1,$C$112:$C$113,0)-1,0)</f>
        <v>423.1</v>
      </c>
      <c r="H31" s="33">
        <f ca="1">431.9*OFFSET(H$112,MATCH($N$1,$C$112:$C$113,0)-1,0)</f>
        <v>431.9</v>
      </c>
      <c r="I31" s="33">
        <f ca="1">328.3*OFFSET(I$112,MATCH($N$1,$C$112:$C$113,0)-1,0)</f>
        <v>328.3</v>
      </c>
      <c r="J31" s="33">
        <f ca="1">382.1*OFFSET(J$112,MATCH($N$1,$C$112:$C$113,0)-1,0)</f>
        <v>382.1</v>
      </c>
      <c r="K31" s="33">
        <f ca="1">366.7*OFFSET(K$112,MATCH($N$1,$C$112:$C$113,0)-1,0)</f>
        <v>366.7</v>
      </c>
      <c r="L31" s="33">
        <f ca="1">325.9*OFFSET(L$112,MATCH($N$1,$C$112:$C$113,0)-1,0)</f>
        <v>325.89999999999998</v>
      </c>
      <c r="M31" s="33">
        <f ca="1">269*OFFSET(M$112,MATCH($N$1,$C$112:$C$113,0)-1,0)</f>
        <v>269</v>
      </c>
      <c r="N31" s="33">
        <v>273.8</v>
      </c>
      <c r="O31" s="29">
        <f t="shared" ca="1" si="0"/>
        <v>0.64543269230769229</v>
      </c>
      <c r="P31" s="29">
        <f t="shared" ca="1" si="1"/>
        <v>-0.28343365611096571</v>
      </c>
    </row>
    <row r="32" spans="1:16" ht="18" customHeight="1" x14ac:dyDescent="0.2">
      <c r="A32" s="199"/>
      <c r="B32" s="37" t="s">
        <v>74</v>
      </c>
      <c r="C32" s="33"/>
      <c r="D32" s="33">
        <f ca="1">372*OFFSET(D$112,MATCH($N$1,$C$112:$C$113,0)-1,0)</f>
        <v>372</v>
      </c>
      <c r="E32" s="33">
        <f ca="1">646.7*OFFSET(E$112,MATCH($N$1,$C$112:$C$113,0)-1,0)</f>
        <v>646.70000000000005</v>
      </c>
      <c r="F32" s="33">
        <f ca="1">539.7*OFFSET(F$112,MATCH($N$1,$C$112:$C$113,0)-1,0)</f>
        <v>539.70000000000005</v>
      </c>
      <c r="G32" s="33">
        <f ca="1">818.7*OFFSET(G$112,MATCH($N$1,$C$112:$C$113,0)-1,0)</f>
        <v>818.7</v>
      </c>
      <c r="H32" s="33">
        <f ca="1">746.9*OFFSET(H$112,MATCH($N$1,$C$112:$C$113,0)-1,0)</f>
        <v>746.9</v>
      </c>
      <c r="I32" s="33">
        <f ca="1">485.8*OFFSET(I$112,MATCH($N$1,$C$112:$C$113,0)-1,0)</f>
        <v>485.8</v>
      </c>
      <c r="J32" s="33">
        <f ca="1">510.4*OFFSET(J$112,MATCH($N$1,$C$112:$C$113,0)-1,0)</f>
        <v>510.4</v>
      </c>
      <c r="K32" s="33">
        <f ca="1">601.8*OFFSET(K$112,MATCH($N$1,$C$112:$C$113,0)-1,0)</f>
        <v>601.79999999999995</v>
      </c>
      <c r="L32" s="33">
        <f ca="1">391.3*OFFSET(L$112,MATCH($N$1,$C$112:$C$113,0)-1,0)</f>
        <v>391.3</v>
      </c>
      <c r="M32" s="33">
        <f ca="1">460.2*OFFSET(M$112,MATCH($N$1,$C$112:$C$113,0)-1,0)</f>
        <v>460.2</v>
      </c>
      <c r="N32" s="33">
        <v>503.8</v>
      </c>
      <c r="O32" s="29">
        <f t="shared" ca="1" si="0"/>
        <v>0.35430107526881721</v>
      </c>
      <c r="P32" s="29">
        <f t="shared" ca="1" si="1"/>
        <v>-1.2931034482758555E-2</v>
      </c>
    </row>
    <row r="33" spans="1:16" ht="18" customHeight="1" x14ac:dyDescent="0.2">
      <c r="A33" s="199"/>
      <c r="B33" s="37" t="s">
        <v>75</v>
      </c>
      <c r="C33" s="33"/>
      <c r="D33" s="33">
        <f ca="1">1010.5*OFFSET(D$112,MATCH($N$1,$C$112:$C$113,0)-1,0)</f>
        <v>1010.5</v>
      </c>
      <c r="E33" s="33">
        <f ca="1">1443.6*OFFSET(E$112,MATCH($N$1,$C$112:$C$113,0)-1,0)</f>
        <v>1443.6</v>
      </c>
      <c r="F33" s="33">
        <f ca="1">1207.2*OFFSET(F$112,MATCH($N$1,$C$112:$C$113,0)-1,0)</f>
        <v>1207.2</v>
      </c>
      <c r="G33" s="33">
        <f ca="1">1662.5*OFFSET(G$112,MATCH($N$1,$C$112:$C$113,0)-1,0)</f>
        <v>1662.5</v>
      </c>
      <c r="H33" s="33">
        <f ca="1">1449.7*OFFSET(H$112,MATCH($N$1,$C$112:$C$113,0)-1,0)</f>
        <v>1449.7</v>
      </c>
      <c r="I33" s="33">
        <f ca="1">1077.8*OFFSET(I$112,MATCH($N$1,$C$112:$C$113,0)-1,0)</f>
        <v>1077.8</v>
      </c>
      <c r="J33" s="33">
        <f ca="1">1162.5*OFFSET(J$112,MATCH($N$1,$C$112:$C$113,0)-1,0)</f>
        <v>1162.5</v>
      </c>
      <c r="K33" s="33">
        <f ca="1">1271.2*OFFSET(K$112,MATCH($N$1,$C$112:$C$113,0)-1,0)</f>
        <v>1271.2</v>
      </c>
      <c r="L33" s="33">
        <f ca="1">994.4*OFFSET(L$112,MATCH($N$1,$C$112:$C$113,0)-1,0)</f>
        <v>994.4</v>
      </c>
      <c r="M33" s="33">
        <f ca="1">984.8*OFFSET(M$112,MATCH($N$1,$C$112:$C$113,0)-1,0)</f>
        <v>984.8</v>
      </c>
      <c r="N33" s="33">
        <v>1101.2</v>
      </c>
      <c r="O33" s="29">
        <f t="shared" ca="1" si="0"/>
        <v>8.9757545769421118E-2</v>
      </c>
      <c r="P33" s="29">
        <f t="shared" ca="1" si="1"/>
        <v>-5.2731182795698883E-2</v>
      </c>
    </row>
    <row r="34" spans="1:16" ht="18" customHeight="1" x14ac:dyDescent="0.2">
      <c r="A34" s="199"/>
      <c r="B34" s="37" t="s">
        <v>76</v>
      </c>
      <c r="C34" s="33"/>
      <c r="D34" s="33">
        <f ca="1">220.3*OFFSET(D$112,MATCH($N$1,$C$112:$C$113,0)-1,0)</f>
        <v>220.3</v>
      </c>
      <c r="E34" s="33">
        <f ca="1">383*OFFSET(E$112,MATCH($N$1,$C$112:$C$113,0)-1,0)</f>
        <v>383</v>
      </c>
      <c r="F34" s="33">
        <f ca="1">319.6*OFFSET(F$112,MATCH($N$1,$C$112:$C$113,0)-1,0)</f>
        <v>319.60000000000002</v>
      </c>
      <c r="G34" s="33">
        <f ca="1">317.5*OFFSET(G$112,MATCH($N$1,$C$112:$C$113,0)-1,0)</f>
        <v>317.5</v>
      </c>
      <c r="H34" s="33">
        <f ca="1">282.8*OFFSET(H$112,MATCH($N$1,$C$112:$C$113,0)-1,0)</f>
        <v>282.8</v>
      </c>
      <c r="I34" s="33">
        <f ca="1">287.7*OFFSET(I$112,MATCH($N$1,$C$112:$C$113,0)-1,0)</f>
        <v>287.7</v>
      </c>
      <c r="J34" s="33">
        <f ca="1">418.7*OFFSET(J$112,MATCH($N$1,$C$112:$C$113,0)-1,0)</f>
        <v>418.7</v>
      </c>
      <c r="K34" s="33">
        <f ca="1">356.5*OFFSET(K$112,MATCH($N$1,$C$112:$C$113,0)-1,0)</f>
        <v>356.5</v>
      </c>
      <c r="L34" s="33">
        <f ca="1">237.3*OFFSET(L$112,MATCH($N$1,$C$112:$C$113,0)-1,0)</f>
        <v>237.3</v>
      </c>
      <c r="M34" s="33">
        <f ca="1">272.6*OFFSET(M$112,MATCH($N$1,$C$112:$C$113,0)-1,0)</f>
        <v>272.60000000000002</v>
      </c>
      <c r="N34" s="33">
        <v>272.39999999999998</v>
      </c>
      <c r="O34" s="29">
        <f t="shared" ca="1" si="0"/>
        <v>0.23649568769859267</v>
      </c>
      <c r="P34" s="29">
        <f t="shared" ca="1" si="1"/>
        <v>-0.34941485550513496</v>
      </c>
    </row>
    <row r="35" spans="1:16" ht="18" customHeight="1" x14ac:dyDescent="0.2">
      <c r="A35" s="199"/>
      <c r="B35" s="37" t="s">
        <v>77</v>
      </c>
      <c r="C35" s="33"/>
      <c r="D35" s="33">
        <f ca="1">1230.8*OFFSET(D$112,MATCH($N$1,$C$112:$C$113,0)-1,0)</f>
        <v>1230.8</v>
      </c>
      <c r="E35" s="33">
        <f ca="1">1826.6*OFFSET(E$112,MATCH($N$1,$C$112:$C$113,0)-1,0)</f>
        <v>1826.6</v>
      </c>
      <c r="F35" s="33">
        <f ca="1">1526.8*OFFSET(F$112,MATCH($N$1,$C$112:$C$113,0)-1,0)</f>
        <v>1526.8</v>
      </c>
      <c r="G35" s="33">
        <f ca="1">1980*OFFSET(G$112,MATCH($N$1,$C$112:$C$113,0)-1,0)</f>
        <v>1980</v>
      </c>
      <c r="H35" s="33">
        <f ca="1">1732.5*OFFSET(H$112,MATCH($N$1,$C$112:$C$113,0)-1,0)</f>
        <v>1732.5</v>
      </c>
      <c r="I35" s="33">
        <f ca="1">1365.5*OFFSET(I$112,MATCH($N$1,$C$112:$C$113,0)-1,0)</f>
        <v>1365.5</v>
      </c>
      <c r="J35" s="33">
        <f ca="1">1581.2*OFFSET(J$112,MATCH($N$1,$C$112:$C$113,0)-1,0)</f>
        <v>1581.2</v>
      </c>
      <c r="K35" s="33">
        <f ca="1">1627.7*OFFSET(K$112,MATCH($N$1,$C$112:$C$113,0)-1,0)</f>
        <v>1627.7</v>
      </c>
      <c r="L35" s="33">
        <f ca="1">1231.7*OFFSET(L$112,MATCH($N$1,$C$112:$C$113,0)-1,0)</f>
        <v>1231.7</v>
      </c>
      <c r="M35" s="33">
        <f ca="1">1257.4*OFFSET(M$112,MATCH($N$1,$C$112:$C$113,0)-1,0)</f>
        <v>1257.4000000000001</v>
      </c>
      <c r="N35" s="33">
        <v>1373.6000000000001</v>
      </c>
      <c r="O35" s="29">
        <f t="shared" ca="1" si="0"/>
        <v>0.11602209944751396</v>
      </c>
      <c r="P35" s="29">
        <f t="shared" ca="1" si="1"/>
        <v>-0.13129268909688838</v>
      </c>
    </row>
    <row r="36" spans="1:16" ht="18" customHeight="1" x14ac:dyDescent="0.2">
      <c r="A36" s="199"/>
      <c r="B36" s="42" t="s">
        <v>78</v>
      </c>
      <c r="C36" s="43"/>
      <c r="D36" s="43">
        <f ca="1">499.1*OFFSET(D$112,MATCH($N$1,$C$112:$C$113,0)-1,0)</f>
        <v>499.1</v>
      </c>
      <c r="E36" s="43">
        <f ca="1">310.2*OFFSET(E$112,MATCH($N$1,$C$112:$C$113,0)-1,0)</f>
        <v>310.2</v>
      </c>
      <c r="F36" s="43">
        <f ca="1">254.2*OFFSET(F$112,MATCH($N$1,$C$112:$C$113,0)-1,0)</f>
        <v>254.2</v>
      </c>
      <c r="G36" s="43">
        <f ca="1">466.1*OFFSET(G$112,MATCH($N$1,$C$112:$C$113,0)-1,0)</f>
        <v>466.1</v>
      </c>
      <c r="H36" s="43">
        <f ca="1">557.3*OFFSET(H$112,MATCH($N$1,$C$112:$C$113,0)-1,0)</f>
        <v>557.29999999999995</v>
      </c>
      <c r="I36" s="43">
        <f ca="1">1004.8*OFFSET(I$112,MATCH($N$1,$C$112:$C$113,0)-1,0)</f>
        <v>1004.8</v>
      </c>
      <c r="J36" s="43">
        <f ca="1">507*OFFSET(J$112,MATCH($N$1,$C$112:$C$113,0)-1,0)</f>
        <v>507</v>
      </c>
      <c r="K36" s="43">
        <f ca="1">425.6*OFFSET(K$112,MATCH($N$1,$C$112:$C$113,0)-1,0)</f>
        <v>425.6</v>
      </c>
      <c r="L36" s="43">
        <f ca="1">414.4*OFFSET(L$112,MATCH($N$1,$C$112:$C$113,0)-1,0)</f>
        <v>414.4</v>
      </c>
      <c r="M36" s="43">
        <f ca="1">307.3*OFFSET(M$112,MATCH($N$1,$C$112:$C$113,0)-1,0)</f>
        <v>307.3</v>
      </c>
      <c r="N36" s="43">
        <v>312</v>
      </c>
      <c r="O36" s="29">
        <f t="shared" ca="1" si="0"/>
        <v>-0.37487477459426971</v>
      </c>
      <c r="P36" s="29">
        <f t="shared" ca="1" si="1"/>
        <v>-0.38461538461538464</v>
      </c>
    </row>
    <row r="37" spans="1:16" ht="18" customHeight="1" x14ac:dyDescent="0.2">
      <c r="A37" s="199"/>
      <c r="B37" s="42" t="s">
        <v>79</v>
      </c>
      <c r="C37" s="43"/>
      <c r="D37" s="43">
        <f ca="1">332.7*OFFSET(D$112,MATCH($N$1,$C$112:$C$113,0)-1,0)</f>
        <v>332.7</v>
      </c>
      <c r="E37" s="43">
        <f ca="1">-14.4*OFFSET(E$112,MATCH($N$1,$C$112:$C$113,0)-1,0)</f>
        <v>-14.4</v>
      </c>
      <c r="F37" s="43">
        <f ca="1">-14.5*OFFSET(F$112,MATCH($N$1,$C$112:$C$113,0)-1,0)</f>
        <v>-14.5</v>
      </c>
      <c r="G37" s="43">
        <f ca="1">43*OFFSET(G$112,MATCH($N$1,$C$112:$C$113,0)-1,0)</f>
        <v>43</v>
      </c>
      <c r="H37" s="43">
        <f ca="1">125.4*OFFSET(H$112,MATCH($N$1,$C$112:$C$113,0)-1,0)</f>
        <v>125.4</v>
      </c>
      <c r="I37" s="43">
        <f ca="1">676.5*OFFSET(I$112,MATCH($N$1,$C$112:$C$113,0)-1,0)</f>
        <v>676.5</v>
      </c>
      <c r="J37" s="43">
        <f ca="1">124.9*OFFSET(J$112,MATCH($N$1,$C$112:$C$113,0)-1,0)</f>
        <v>124.9</v>
      </c>
      <c r="K37" s="43">
        <f ca="1">58.9*OFFSET(K$112,MATCH($N$1,$C$112:$C$113,0)-1,0)</f>
        <v>58.9</v>
      </c>
      <c r="L37" s="43">
        <f ca="1">88.5*OFFSET(L$112,MATCH($N$1,$C$112:$C$113,0)-1,0)</f>
        <v>88.5</v>
      </c>
      <c r="M37" s="43">
        <f ca="1">38.3*OFFSET(M$112,MATCH($N$1,$C$112:$C$113,0)-1,0)</f>
        <v>38.299999999999997</v>
      </c>
      <c r="N37" s="43">
        <v>38.200000000000003</v>
      </c>
      <c r="O37" s="29">
        <f t="shared" ca="1" si="0"/>
        <v>-0.88518184550646228</v>
      </c>
      <c r="P37" s="29">
        <f t="shared" ca="1" si="1"/>
        <v>-0.69415532425940751</v>
      </c>
    </row>
    <row r="38" spans="1:16" ht="18" customHeight="1" x14ac:dyDescent="0.2">
      <c r="A38" s="199"/>
      <c r="B38" s="37" t="s">
        <v>80</v>
      </c>
      <c r="C38" s="33"/>
      <c r="D38" s="33">
        <f ca="1">177.1*OFFSET(D$112,MATCH($N$1,$C$112:$C$113,0)-1,0)</f>
        <v>177.1</v>
      </c>
      <c r="E38" s="33"/>
      <c r="F38" s="33"/>
      <c r="G38" s="33"/>
      <c r="H38" s="33"/>
      <c r="I38" s="33"/>
      <c r="J38" s="33"/>
      <c r="K38" s="33"/>
      <c r="L38" s="33">
        <f ca="1">66.7*OFFSET(L$112,MATCH($N$1,$C$112:$C$113,0)-1,0)</f>
        <v>66.7</v>
      </c>
      <c r="M38" s="33"/>
      <c r="N38" s="33"/>
      <c r="O38" s="29" t="str">
        <f t="shared" si="0"/>
        <v/>
      </c>
      <c r="P38" s="29" t="str">
        <f t="shared" si="1"/>
        <v/>
      </c>
    </row>
    <row r="39" spans="1:16" ht="18" customHeight="1" x14ac:dyDescent="0.2">
      <c r="A39" s="199"/>
      <c r="B39" s="37" t="s">
        <v>81</v>
      </c>
      <c r="C39" s="33"/>
      <c r="D39" s="33">
        <f ca="1">74.1*OFFSET(D$112,MATCH($N$1,$C$112:$C$113,0)-1,0)</f>
        <v>74.099999999999994</v>
      </c>
      <c r="E39" s="33"/>
      <c r="F39" s="33"/>
      <c r="G39" s="33"/>
      <c r="H39" s="33"/>
      <c r="I39" s="33"/>
      <c r="J39" s="33">
        <f ca="1">8.2*OFFSET(J$112,MATCH($N$1,$C$112:$C$113,0)-1,0)</f>
        <v>8.1999999999999993</v>
      </c>
      <c r="K39" s="33"/>
      <c r="L39" s="33">
        <f ca="1">8*OFFSET(L$112,MATCH($N$1,$C$112:$C$113,0)-1,0)</f>
        <v>8</v>
      </c>
      <c r="M39" s="33"/>
      <c r="N39" s="33"/>
      <c r="O39" s="29" t="str">
        <f t="shared" si="0"/>
        <v/>
      </c>
      <c r="P39" s="29" t="str">
        <f t="shared" si="1"/>
        <v/>
      </c>
    </row>
    <row r="40" spans="1:16" ht="18" customHeight="1" x14ac:dyDescent="0.2">
      <c r="A40" s="199"/>
      <c r="B40" s="37" t="s">
        <v>82</v>
      </c>
      <c r="C40" s="33"/>
      <c r="D40" s="33"/>
      <c r="E40" s="33"/>
      <c r="F40" s="33"/>
      <c r="G40" s="33"/>
      <c r="H40" s="33"/>
      <c r="I40" s="33"/>
      <c r="J40" s="33"/>
      <c r="K40" s="33"/>
      <c r="L40" s="33">
        <f ca="1">6.9*OFFSET(L$112,MATCH($N$1,$C$112:$C$113,0)-1,0)</f>
        <v>6.9</v>
      </c>
      <c r="M40" s="33"/>
      <c r="N40" s="33"/>
      <c r="O40" s="29" t="str">
        <f t="shared" si="0"/>
        <v/>
      </c>
      <c r="P40" s="29" t="str">
        <f t="shared" si="1"/>
        <v/>
      </c>
    </row>
    <row r="41" spans="1:16" ht="18" customHeight="1" thickBot="1" x14ac:dyDescent="0.25">
      <c r="A41" s="200"/>
      <c r="B41" s="44" t="s">
        <v>83</v>
      </c>
      <c r="C41" s="45"/>
      <c r="D41" s="45">
        <f ca="1">81.5*OFFSET(D$112,MATCH($N$1,$C$112:$C$113,0)-1,0)</f>
        <v>81.5</v>
      </c>
      <c r="E41" s="45"/>
      <c r="F41" s="45"/>
      <c r="G41" s="45"/>
      <c r="H41" s="45"/>
      <c r="I41" s="45"/>
      <c r="J41" s="45">
        <f ca="1">116.7*OFFSET(J$112,MATCH($N$1,$C$112:$C$113,0)-1,0)</f>
        <v>116.7</v>
      </c>
      <c r="K41" s="45"/>
      <c r="L41" s="45">
        <f ca="1">6.9*OFFSET(L$112,MATCH($N$1,$C$112:$C$113,0)-1,0)</f>
        <v>6.9</v>
      </c>
      <c r="M41" s="45"/>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22</v>
      </c>
      <c r="F46" s="94" t="s">
        <v>22</v>
      </c>
      <c r="G46" s="94" t="s">
        <v>22</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Area VIIBCDEFGHK 24-40m</v>
      </c>
      <c r="C48" s="96"/>
      <c r="D48" s="96"/>
      <c r="E48" s="96"/>
      <c r="F48" s="96"/>
      <c r="G48" s="96"/>
      <c r="K48" s="96" t="str">
        <f>$B24&amp;CHAR(10)&amp;$A$1</f>
        <v>Operating profit per kW day at sea (£)
Area VIIBCDEFGHK 24-40m</v>
      </c>
    </row>
    <row r="49" spans="1:11" s="82" customFormat="1" x14ac:dyDescent="0.2">
      <c r="A49" s="96" t="str">
        <f>$B22&amp;CHAR(10)&amp;$A$1</f>
        <v>Fishing income per kW day at sea (£)
Area VIIBCDEFGHK 24-40m</v>
      </c>
    </row>
    <row r="50" spans="1:11" s="82" customFormat="1" x14ac:dyDescent="0.2">
      <c r="A50" s="96" t="str">
        <f>$B20&amp;CHAR(10)&amp;$A$1</f>
        <v>Average price per tonne landed (£)
Area VIIBCDEFGHK 24-40m</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Area VIIBCDEFGHK 24-40m</v>
      </c>
      <c r="F62" s="96" t="str">
        <f>$B20&amp;CHAR(10)&amp;$A$1</f>
        <v>Average price per tonne landed (£)
Area VIIBCDEFGHK 24-40m</v>
      </c>
      <c r="K62" s="96" t="str">
        <f>"Average annual operating profit per vessel (£'000)"&amp;CHAR(10)&amp;$A$1</f>
        <v>Average annual operating profit per vessel (£'000)
Area VIIBCDEFGHK 24-40m</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Area VIIBCDEFGHK 24-40m</v>
      </c>
      <c r="F76" s="96" t="str">
        <f>"Top 5 landed species by value in "&amp;A77&amp;CHAR(10)&amp;A1</f>
        <v>Top 5 landed species by value in 2020
Area VIIBCDEFGHK 24-40m</v>
      </c>
    </row>
    <row r="77" spans="1:11" s="96" customFormat="1" x14ac:dyDescent="0.2">
      <c r="A77" s="96">
        <v>2020</v>
      </c>
      <c r="B77" s="96" t="s">
        <v>164</v>
      </c>
      <c r="C77" s="97">
        <v>0.39492224349088328</v>
      </c>
      <c r="D77" s="98">
        <v>12153634</v>
      </c>
      <c r="G77" s="96" t="s">
        <v>165</v>
      </c>
      <c r="H77" s="97">
        <v>0.47196767112016347</v>
      </c>
      <c r="I77" s="98">
        <v>12153634</v>
      </c>
      <c r="K77" s="96" t="s">
        <v>87</v>
      </c>
    </row>
    <row r="78" spans="1:11" s="96" customFormat="1" x14ac:dyDescent="0.2">
      <c r="B78" s="96" t="s">
        <v>166</v>
      </c>
      <c r="C78" s="97">
        <v>0.25505162173887769</v>
      </c>
      <c r="D78" s="98">
        <v>553960</v>
      </c>
      <c r="G78" s="96" t="s">
        <v>167</v>
      </c>
      <c r="H78" s="97">
        <v>0.25716643584676707</v>
      </c>
      <c r="I78" s="98">
        <v>553960</v>
      </c>
    </row>
    <row r="79" spans="1:11" s="96" customFormat="1" x14ac:dyDescent="0.2">
      <c r="B79" s="96" t="s">
        <v>168</v>
      </c>
      <c r="C79" s="97">
        <v>5.5442024765244201E-2</v>
      </c>
      <c r="D79" s="98">
        <v>1692097</v>
      </c>
      <c r="G79" s="96" t="s">
        <v>169</v>
      </c>
      <c r="H79" s="97">
        <v>4.4202589013301347E-2</v>
      </c>
      <c r="I79" s="98">
        <v>3050596</v>
      </c>
    </row>
    <row r="80" spans="1:11" s="96" customFormat="1" x14ac:dyDescent="0.2">
      <c r="B80" s="96" t="s">
        <v>170</v>
      </c>
      <c r="C80" s="97">
        <v>4.2250231848896098E-2</v>
      </c>
      <c r="D80" s="98">
        <v>11115023</v>
      </c>
      <c r="G80" s="96" t="s">
        <v>171</v>
      </c>
      <c r="H80" s="97">
        <v>3.7503695593471296E-2</v>
      </c>
      <c r="I80" s="98">
        <v>1692097</v>
      </c>
    </row>
    <row r="81" spans="1:19" s="96" customFormat="1" x14ac:dyDescent="0.2">
      <c r="B81" s="110">
        <v>-4.2000000000000003E-2</v>
      </c>
      <c r="C81" s="97">
        <v>4.1660582944860754E-2</v>
      </c>
      <c r="D81" s="98">
        <v>11115023</v>
      </c>
      <c r="G81" s="96" t="s">
        <v>172</v>
      </c>
      <c r="H81" s="97">
        <v>3.1781175699035408E-2</v>
      </c>
      <c r="I81" s="98">
        <v>3689192</v>
      </c>
    </row>
    <row r="82" spans="1:19" s="96" customFormat="1" x14ac:dyDescent="0.2">
      <c r="B82" s="96" t="s">
        <v>173</v>
      </c>
      <c r="C82" s="97">
        <v>0.21067329521123801</v>
      </c>
      <c r="D82" s="98">
        <v>5920853</v>
      </c>
      <c r="G82" s="96" t="s">
        <v>174</v>
      </c>
      <c r="H82" s="97">
        <v>0.15737843272726137</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143</v>
      </c>
      <c r="D92" s="102">
        <v>0.29920042342514119</v>
      </c>
      <c r="E92" s="102">
        <v>0.4031881504887127</v>
      </c>
      <c r="F92" s="102">
        <v>0.40701506377959568</v>
      </c>
      <c r="G92" s="102">
        <v>0.38506751811489454</v>
      </c>
      <c r="H92" s="102">
        <v>0.45823946110685815</v>
      </c>
      <c r="I92" s="102">
        <v>0.43862121460453507</v>
      </c>
      <c r="J92" s="102">
        <v>0.4587744128226347</v>
      </c>
      <c r="K92" s="102">
        <v>0.47819974389844794</v>
      </c>
      <c r="L92" s="102">
        <v>0.47196767112016347</v>
      </c>
      <c r="M92" s="102">
        <v>0.51703380598688176</v>
      </c>
      <c r="O92" s="96">
        <v>12153634</v>
      </c>
    </row>
    <row r="93" spans="1:19" s="96" customFormat="1" hidden="1" x14ac:dyDescent="0.2">
      <c r="B93" s="96">
        <v>2</v>
      </c>
      <c r="C93" s="96" t="s">
        <v>175</v>
      </c>
      <c r="D93" s="102">
        <v>0.25100149250787346</v>
      </c>
      <c r="E93" s="102">
        <v>0.32393297562530143</v>
      </c>
      <c r="F93" s="102">
        <v>0.32545855941152041</v>
      </c>
      <c r="G93" s="102">
        <v>0.30892385848014436</v>
      </c>
      <c r="H93" s="102">
        <v>0.33941883631047026</v>
      </c>
      <c r="I93" s="102">
        <v>0.30968710313490122</v>
      </c>
      <c r="J93" s="102">
        <v>0.26760876733399463</v>
      </c>
      <c r="K93" s="102">
        <v>0.24042407363730939</v>
      </c>
      <c r="L93" s="102">
        <v>0.25716643584676707</v>
      </c>
      <c r="M93" s="102">
        <v>0.24017291465268617</v>
      </c>
      <c r="O93" s="96">
        <v>553960</v>
      </c>
    </row>
    <row r="94" spans="1:19" s="96" customFormat="1" hidden="1" x14ac:dyDescent="0.2">
      <c r="B94" s="96">
        <v>3</v>
      </c>
      <c r="C94" s="96" t="s">
        <v>102</v>
      </c>
      <c r="D94" s="102"/>
      <c r="E94" s="102"/>
      <c r="F94" s="102"/>
      <c r="G94" s="102"/>
      <c r="H94" s="102">
        <v>3.6085591352397257E-2</v>
      </c>
      <c r="I94" s="102">
        <v>7.8080402166688614E-2</v>
      </c>
      <c r="J94" s="102">
        <v>6.2714745381407255E-2</v>
      </c>
      <c r="K94" s="102">
        <v>6.9146097810864227E-2</v>
      </c>
      <c r="L94" s="102">
        <v>4.4202589013301347E-2</v>
      </c>
      <c r="M94" s="102">
        <v>6.6133732802885495E-2</v>
      </c>
      <c r="O94" s="96">
        <v>3050596</v>
      </c>
    </row>
    <row r="95" spans="1:19" s="96" customFormat="1" hidden="1" x14ac:dyDescent="0.2">
      <c r="B95" s="96">
        <v>4</v>
      </c>
      <c r="C95" s="96" t="s">
        <v>99</v>
      </c>
      <c r="D95" s="102"/>
      <c r="E95" s="102">
        <v>3.3098359216542111E-2</v>
      </c>
      <c r="F95" s="102">
        <v>4.1481225663011344E-2</v>
      </c>
      <c r="G95" s="102">
        <v>4.9009991365753493E-2</v>
      </c>
      <c r="H95" s="102">
        <v>4.9711217944211454E-2</v>
      </c>
      <c r="I95" s="102">
        <v>4.7200137152556075E-2</v>
      </c>
      <c r="J95" s="102">
        <v>3.197149527225629E-2</v>
      </c>
      <c r="K95" s="102">
        <v>3.9681538971269824E-2</v>
      </c>
      <c r="L95" s="102">
        <v>3.7503695593471296E-2</v>
      </c>
      <c r="M95" s="102"/>
      <c r="O95" s="96">
        <v>1692097</v>
      </c>
    </row>
    <row r="96" spans="1:19" s="96" customFormat="1" hidden="1" x14ac:dyDescent="0.2">
      <c r="B96" s="96">
        <v>5</v>
      </c>
      <c r="C96" s="96" t="s">
        <v>20</v>
      </c>
      <c r="D96" s="102"/>
      <c r="E96" s="102">
        <v>5.6317600795370425E-2</v>
      </c>
      <c r="F96" s="102">
        <v>2.2554224177519389E-2</v>
      </c>
      <c r="G96" s="102"/>
      <c r="H96" s="102"/>
      <c r="I96" s="102"/>
      <c r="J96" s="102"/>
      <c r="K96" s="102"/>
      <c r="L96" s="102">
        <v>3.1781175699035408E-2</v>
      </c>
      <c r="M96" s="102"/>
      <c r="O96" s="96">
        <v>3689192</v>
      </c>
    </row>
    <row r="97" spans="1:15" s="96" customFormat="1" hidden="1" x14ac:dyDescent="0.2">
      <c r="B97" s="96">
        <v>6</v>
      </c>
      <c r="C97" s="96" t="s">
        <v>176</v>
      </c>
      <c r="D97" s="102"/>
      <c r="E97" s="102"/>
      <c r="F97" s="102"/>
      <c r="G97" s="102"/>
      <c r="H97" s="102">
        <v>3.3873146624952548E-2</v>
      </c>
      <c r="I97" s="102">
        <v>2.6442779028529543E-2</v>
      </c>
      <c r="J97" s="102">
        <v>3.1937299966021626E-2</v>
      </c>
      <c r="K97" s="102">
        <v>2.8444232778621851E-2</v>
      </c>
      <c r="L97" s="102"/>
      <c r="M97" s="102">
        <v>2.5311213997250212E-2</v>
      </c>
      <c r="O97" s="96">
        <v>11115023</v>
      </c>
    </row>
    <row r="98" spans="1:15" s="96" customFormat="1" hidden="1" x14ac:dyDescent="0.2">
      <c r="B98" s="96">
        <v>7</v>
      </c>
      <c r="C98" s="96" t="s">
        <v>177</v>
      </c>
      <c r="D98" s="102"/>
      <c r="E98" s="102"/>
      <c r="F98" s="102"/>
      <c r="G98" s="102"/>
      <c r="H98" s="102"/>
      <c r="I98" s="102"/>
      <c r="J98" s="102"/>
      <c r="K98" s="102"/>
      <c r="L98" s="102"/>
      <c r="M98" s="102">
        <v>2.3910957438924747E-2</v>
      </c>
      <c r="O98" s="96">
        <v>2480382</v>
      </c>
    </row>
    <row r="99" spans="1:15" s="96" customFormat="1" hidden="1" x14ac:dyDescent="0.2">
      <c r="B99" s="96">
        <v>8</v>
      </c>
      <c r="C99" s="96" t="s">
        <v>145</v>
      </c>
      <c r="D99" s="102">
        <v>5.0350147607056209E-2</v>
      </c>
      <c r="E99" s="102">
        <v>3.8958014861504915E-2</v>
      </c>
      <c r="F99" s="102">
        <v>4.0309536607420322E-2</v>
      </c>
      <c r="G99" s="102">
        <v>3.6188919291715992E-2</v>
      </c>
      <c r="H99" s="102"/>
      <c r="I99" s="102"/>
      <c r="J99" s="102"/>
      <c r="K99" s="102"/>
      <c r="L99" s="102"/>
      <c r="M99" s="102"/>
      <c r="O99" s="96">
        <v>7434864</v>
      </c>
    </row>
    <row r="100" spans="1:15" s="96" customFormat="1" hidden="1" x14ac:dyDescent="0.2">
      <c r="B100" s="96">
        <v>9</v>
      </c>
      <c r="C100" s="96" t="s">
        <v>128</v>
      </c>
      <c r="D100" s="102">
        <v>6.8576632937303705E-2</v>
      </c>
      <c r="E100" s="102"/>
      <c r="F100" s="102"/>
      <c r="G100" s="102">
        <v>3.0294966055495028E-2</v>
      </c>
      <c r="H100" s="102"/>
      <c r="I100" s="102"/>
      <c r="J100" s="102"/>
      <c r="K100" s="102"/>
      <c r="L100" s="102"/>
      <c r="M100" s="102"/>
      <c r="O100" s="96">
        <v>8497745</v>
      </c>
    </row>
    <row r="101" spans="1:15" s="96" customFormat="1" hidden="1" x14ac:dyDescent="0.2">
      <c r="B101" s="96">
        <v>10</v>
      </c>
      <c r="C101" s="96" t="s">
        <v>178</v>
      </c>
      <c r="D101" s="102">
        <v>3.459548872510021E-2</v>
      </c>
      <c r="E101" s="102"/>
      <c r="F101" s="102"/>
      <c r="G101" s="102"/>
      <c r="H101" s="102"/>
      <c r="I101" s="102"/>
      <c r="J101" s="102"/>
      <c r="K101" s="102"/>
      <c r="L101" s="102"/>
      <c r="M101" s="102"/>
      <c r="O101" s="96">
        <v>14393110</v>
      </c>
    </row>
    <row r="102" spans="1:15" s="96" customFormat="1" hidden="1" x14ac:dyDescent="0.2">
      <c r="B102" s="96">
        <v>11</v>
      </c>
      <c r="C102" s="96" t="s">
        <v>107</v>
      </c>
      <c r="D102" s="102">
        <v>0.29627581479752518</v>
      </c>
      <c r="E102" s="102">
        <v>0.14450489901256838</v>
      </c>
      <c r="F102" s="102">
        <v>0.16318139036093285</v>
      </c>
      <c r="G102" s="102">
        <v>0.19051474669199658</v>
      </c>
      <c r="H102" s="102">
        <v>8.2671746661110365E-2</v>
      </c>
      <c r="I102" s="102">
        <v>9.9968363912789474E-2</v>
      </c>
      <c r="J102" s="102">
        <v>0.14699327922368549</v>
      </c>
      <c r="K102" s="102">
        <v>0.1441043129034868</v>
      </c>
      <c r="L102" s="102">
        <v>0.1573784327272614</v>
      </c>
      <c r="M102" s="102">
        <v>0.12743737512137154</v>
      </c>
      <c r="O102" s="96">
        <v>5920853</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12</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t="s">
        <v>108</v>
      </c>
      <c r="D120" s="56">
        <v>6</v>
      </c>
      <c r="E120" s="56" t="s">
        <v>108</v>
      </c>
      <c r="F120" s="57">
        <v>12</v>
      </c>
    </row>
    <row r="121" spans="1:15" ht="18" customHeight="1" x14ac:dyDescent="0.2">
      <c r="A121" s="194" t="s">
        <v>27</v>
      </c>
      <c r="B121" s="35" t="s">
        <v>62</v>
      </c>
      <c r="C121" s="58"/>
      <c r="D121" s="58">
        <v>33.908332824707031</v>
      </c>
      <c r="E121" s="58"/>
      <c r="F121" s="59">
        <v>31.928333282470703</v>
      </c>
    </row>
    <row r="122" spans="1:15" ht="18" customHeight="1" x14ac:dyDescent="0.2">
      <c r="A122" s="195"/>
      <c r="B122" s="37" t="s">
        <v>55</v>
      </c>
      <c r="C122" s="60"/>
      <c r="D122" s="60">
        <v>687.16665649414063</v>
      </c>
      <c r="E122" s="60"/>
      <c r="F122" s="61">
        <v>597.08331298828125</v>
      </c>
    </row>
    <row r="123" spans="1:15" ht="18" customHeight="1" x14ac:dyDescent="0.2">
      <c r="A123" s="195"/>
      <c r="B123" s="37" t="s">
        <v>56</v>
      </c>
      <c r="C123" s="60"/>
      <c r="D123" s="60">
        <v>296</v>
      </c>
      <c r="E123" s="60"/>
      <c r="F123" s="61">
        <v>291.66665649414063</v>
      </c>
    </row>
    <row r="124" spans="1:15" ht="18" customHeight="1" x14ac:dyDescent="0.2">
      <c r="A124" s="195"/>
      <c r="B124" s="37" t="s">
        <v>57</v>
      </c>
      <c r="C124" s="60"/>
      <c r="D124" s="60">
        <v>572.54083251953125</v>
      </c>
      <c r="E124" s="60"/>
      <c r="F124" s="61">
        <v>542.49530029296875</v>
      </c>
    </row>
    <row r="125" spans="1:15" ht="18" customHeight="1" x14ac:dyDescent="0.2">
      <c r="A125" s="195"/>
      <c r="B125" s="37" t="s">
        <v>58</v>
      </c>
      <c r="C125" s="33"/>
      <c r="D125" s="33">
        <v>593.28594970703125</v>
      </c>
      <c r="E125" s="33"/>
      <c r="F125" s="62">
        <v>520.7164306640625</v>
      </c>
    </row>
    <row r="126" spans="1:15" ht="18" customHeight="1" x14ac:dyDescent="0.2">
      <c r="A126" s="195"/>
      <c r="B126" s="37" t="s">
        <v>63</v>
      </c>
      <c r="C126" s="33"/>
      <c r="D126" s="33">
        <f ca="1">1745.5619375*OFFSET($L$112,MATCH($N$1,$C$112:$C$113,0)-1,0)</f>
        <v>1745.5619375000001</v>
      </c>
      <c r="E126" s="33"/>
      <c r="F126" s="62">
        <f ca="1">1286.06075*OFFSET($L$112,MATCH($N$1,$C$112:$C$113,0)-1,0)</f>
        <v>1286.0607500000001</v>
      </c>
    </row>
    <row r="127" spans="1:15" ht="18" customHeight="1" x14ac:dyDescent="0.2">
      <c r="A127" s="195"/>
      <c r="B127" s="37" t="s">
        <v>60</v>
      </c>
      <c r="C127" s="60"/>
      <c r="D127" s="60">
        <v>302.33332824707031</v>
      </c>
      <c r="E127" s="60"/>
      <c r="F127" s="61">
        <v>274.41665649414063</v>
      </c>
    </row>
    <row r="128" spans="1:15" ht="18" customHeight="1" x14ac:dyDescent="0.2">
      <c r="A128" s="195"/>
      <c r="B128" s="37" t="s">
        <v>64</v>
      </c>
      <c r="C128" s="60"/>
      <c r="D128" s="60">
        <v>23.166666984558105</v>
      </c>
      <c r="E128" s="60"/>
      <c r="F128" s="61">
        <v>22.799999237060547</v>
      </c>
    </row>
    <row r="129" spans="1:15" ht="18" customHeight="1" x14ac:dyDescent="0.2">
      <c r="A129" s="195"/>
      <c r="B129" s="37" t="s">
        <v>65</v>
      </c>
      <c r="C129" s="63"/>
      <c r="D129" s="63">
        <v>1.9623570882737449</v>
      </c>
      <c r="E129" s="63"/>
      <c r="F129" s="64">
        <v>1.897539496421814</v>
      </c>
    </row>
    <row r="130" spans="1:15" ht="18" customHeight="1" x14ac:dyDescent="0.2">
      <c r="A130" s="196"/>
      <c r="B130" s="39" t="s">
        <v>28</v>
      </c>
      <c r="C130" s="40"/>
      <c r="D130" s="40">
        <f ca="1">2942.1932853154*OFFSET($L$112,MATCH($N$1,$C$112:$C$113,0)-1,0)</f>
        <v>2942.1932853153999</v>
      </c>
      <c r="E130" s="40"/>
      <c r="F130" s="65">
        <f ca="1">2470*OFFSET($L$112,MATCH($N$1,$C$112:$C$113,0)-1,0)</f>
        <v>2470</v>
      </c>
    </row>
    <row r="131" spans="1:15" ht="18" customHeight="1" x14ac:dyDescent="0.2">
      <c r="A131" s="205" t="s">
        <v>29</v>
      </c>
      <c r="B131" s="35" t="s">
        <v>66</v>
      </c>
      <c r="C131" s="66"/>
      <c r="D131" s="66">
        <v>2.862126696401543</v>
      </c>
      <c r="E131" s="66"/>
      <c r="F131" s="67">
        <v>3.1362995361500929</v>
      </c>
    </row>
    <row r="132" spans="1:15" ht="18" customHeight="1" x14ac:dyDescent="0.2">
      <c r="A132" s="206"/>
      <c r="B132" s="37" t="s">
        <v>67</v>
      </c>
      <c r="C132" s="63"/>
      <c r="D132" s="63">
        <f ca="1">8.42092994787458*OFFSET($L$112,MATCH($N$1,$C$112:$C$113,0)-1,0)</f>
        <v>8.4209299478745798</v>
      </c>
      <c r="E132" s="63"/>
      <c r="F132" s="64">
        <f ca="1">7.74600434355799*OFFSET($L$112,MATCH($N$1,$C$112:$C$113,0)-1,0)</f>
        <v>7.7460043435579902</v>
      </c>
    </row>
    <row r="133" spans="1:15" ht="18" customHeight="1" x14ac:dyDescent="0.2">
      <c r="A133" s="206"/>
      <c r="B133" s="37" t="s">
        <v>11</v>
      </c>
      <c r="C133" s="63"/>
      <c r="D133" s="63">
        <f ca="1">7.91664033460612*OFFSET($L$112,MATCH($N$1,$C$112:$C$113,0)-1,0)</f>
        <v>7.9166403346061198</v>
      </c>
      <c r="E133" s="63"/>
      <c r="F133" s="64">
        <f ca="1">7.51513285853528*OFFSET($L$112,MATCH($N$1,$C$112:$C$113,0)-1,0)</f>
        <v>7.5151328585352797</v>
      </c>
    </row>
    <row r="134" spans="1:15" ht="18" customHeight="1" x14ac:dyDescent="0.2">
      <c r="A134" s="207"/>
      <c r="B134" s="39" t="s">
        <v>12</v>
      </c>
      <c r="C134" s="68"/>
      <c r="D134" s="68">
        <f ca="1">0.504289613268464*OFFSET($L$112,MATCH($N$1,$C$112:$C$113,0)-1,0)</f>
        <v>0.504289613268464</v>
      </c>
      <c r="E134" s="68"/>
      <c r="F134" s="69">
        <f ca="1">0.230871485022705*OFFSET($L$112,MATCH($N$1,$C$112:$C$113,0)-1,0)</f>
        <v>0.23087148502270499</v>
      </c>
    </row>
    <row r="135" spans="1:15" ht="18" customHeight="1" x14ac:dyDescent="0.2">
      <c r="A135" s="208" t="s">
        <v>49</v>
      </c>
      <c r="B135" s="37" t="s">
        <v>109</v>
      </c>
      <c r="C135" s="70"/>
      <c r="D135" s="70">
        <f ca="1">379.867140625*OFFSET($L$112,MATCH($N$1,$C$112:$C$113,0)-1,0)</f>
        <v>379.86714062499999</v>
      </c>
      <c r="E135" s="70"/>
      <c r="F135" s="71">
        <f ca="1">255.571015625*OFFSET($L$112,MATCH($N$1,$C$112:$C$113,0)-1,0)</f>
        <v>255.571015625</v>
      </c>
    </row>
    <row r="136" spans="1:15" ht="18" customHeight="1" x14ac:dyDescent="0.2">
      <c r="A136" s="209"/>
      <c r="B136" s="37" t="s">
        <v>110</v>
      </c>
      <c r="C136" s="31"/>
      <c r="D136" s="31">
        <v>729999.97100830078</v>
      </c>
      <c r="E136" s="31"/>
      <c r="F136" s="72">
        <v>695916.66666666663</v>
      </c>
    </row>
    <row r="137" spans="1:15" ht="18" customHeight="1" x14ac:dyDescent="0.2">
      <c r="A137" s="209"/>
      <c r="B137" s="37" t="s">
        <v>111</v>
      </c>
      <c r="C137" s="31"/>
      <c r="D137" s="31">
        <v>2414.553417715616</v>
      </c>
      <c r="E137" s="31"/>
      <c r="F137" s="72">
        <v>2535.9853515625</v>
      </c>
    </row>
    <row r="138" spans="1:15" ht="18" customHeight="1" x14ac:dyDescent="0.2">
      <c r="A138" s="209"/>
      <c r="B138" s="37" t="s">
        <v>112</v>
      </c>
      <c r="C138" s="31"/>
      <c r="D138" s="31">
        <f ca="1">1256.4514234255*OFFSET($L$112,MATCH($N$1,$C$112:$C$113,0)-1,0)</f>
        <v>1256.4514234255</v>
      </c>
      <c r="E138" s="31"/>
      <c r="F138" s="72">
        <f ca="1">931.324719461615*OFFSET($L$112,MATCH($N$1,$C$112:$C$113,0)-1,0)</f>
        <v>931.32471946161502</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c r="D139" s="31">
        <f ca="1">640.27665042899*OFFSET($L$112,MATCH($N$1,$C$112:$C$113,0)-1,0)</f>
        <v>640.27665042899002</v>
      </c>
      <c r="E139" s="31"/>
      <c r="F139" s="72">
        <f ca="1">490.806513055626*OFFSET($L$112,MATCH($N$1,$C$112:$C$113,0)-1,0)</f>
        <v>490.806513055626</v>
      </c>
      <c r="I139" s="48"/>
      <c r="K139" s="73" t="s">
        <v>114</v>
      </c>
      <c r="L139" s="74">
        <f t="shared" ref="L139:M141" si="2">C140</f>
        <v>0</v>
      </c>
      <c r="M139" s="74">
        <f t="shared" ca="1" si="2"/>
        <v>1748.8498125000001</v>
      </c>
      <c r="N139" s="74">
        <f>E140</f>
        <v>0</v>
      </c>
      <c r="O139" s="74"/>
    </row>
    <row r="140" spans="1:15" ht="18" customHeight="1" x14ac:dyDescent="0.2">
      <c r="A140" s="187" t="s">
        <v>50</v>
      </c>
      <c r="B140" s="35" t="s">
        <v>115</v>
      </c>
      <c r="C140" s="75"/>
      <c r="D140" s="75">
        <f ca="1">1748.8498125*OFFSET($L$112,MATCH($N$1,$C$112:$C$113,0)-1,0)</f>
        <v>1748.8498125000001</v>
      </c>
      <c r="E140" s="75"/>
      <c r="F140" s="76">
        <f ca="1">1295.704875*OFFSET($L$112,MATCH($N$1,$C$112:$C$113,0)-1,0)</f>
        <v>1295.7048749999999</v>
      </c>
      <c r="I140" s="48"/>
      <c r="K140" s="73" t="s">
        <v>116</v>
      </c>
      <c r="L140" s="74">
        <f t="shared" si="2"/>
        <v>0</v>
      </c>
      <c r="M140" s="74">
        <f t="shared" ca="1" si="2"/>
        <v>1644.3163750000001</v>
      </c>
      <c r="N140" s="74">
        <f>E141</f>
        <v>0</v>
      </c>
      <c r="O140" s="74"/>
    </row>
    <row r="141" spans="1:15" ht="18" customHeight="1" x14ac:dyDescent="0.2">
      <c r="A141" s="188"/>
      <c r="B141" s="37" t="s">
        <v>117</v>
      </c>
      <c r="C141" s="31"/>
      <c r="D141" s="31">
        <f ca="1">1644.316375*OFFSET($L$112,MATCH($N$1,$C$112:$C$113,0)-1,0)</f>
        <v>1644.3163750000001</v>
      </c>
      <c r="E141" s="31"/>
      <c r="F141" s="72">
        <f ca="1">1257.3735*OFFSET($L$112,MATCH($N$1,$C$112:$C$113,0)-1,0)</f>
        <v>1257.3734999999999</v>
      </c>
      <c r="I141" s="48"/>
      <c r="K141" s="73" t="s">
        <v>118</v>
      </c>
      <c r="L141" s="74">
        <f t="shared" si="2"/>
        <v>0</v>
      </c>
      <c r="M141" s="74">
        <f t="shared" ca="1" si="2"/>
        <v>104.53343750000001</v>
      </c>
      <c r="N141" s="74">
        <f>E142</f>
        <v>0</v>
      </c>
      <c r="O141" s="74"/>
    </row>
    <row r="142" spans="1:15" ht="18" customHeight="1" x14ac:dyDescent="0.2">
      <c r="A142" s="189"/>
      <c r="B142" s="39" t="s">
        <v>119</v>
      </c>
      <c r="C142" s="40"/>
      <c r="D142" s="40">
        <f ca="1">104.5334375*OFFSET($L$112,MATCH($N$1,$C$112:$C$113,0)-1,0)</f>
        <v>104.53343750000001</v>
      </c>
      <c r="E142" s="40"/>
      <c r="F142" s="65">
        <f ca="1">38.33134375*OFFSET($L$112,MATCH($N$1,$C$112:$C$113,0)-1,0)</f>
        <v>38.331343750000002</v>
      </c>
      <c r="I142" s="48"/>
      <c r="K142" s="73" t="s">
        <v>120</v>
      </c>
      <c r="L142" s="77" t="str">
        <f>IFERROR(L140/L$139,"")</f>
        <v/>
      </c>
      <c r="M142" s="77">
        <f t="shared" ref="M142:N143" ca="1" si="3">IFERROR(M140/M$139,"")</f>
        <v>0.94022732154994582</v>
      </c>
      <c r="N142" s="77" t="str">
        <f t="shared" si="3"/>
        <v/>
      </c>
      <c r="O142" s="77"/>
    </row>
    <row r="143" spans="1:15" ht="18" customHeight="1" x14ac:dyDescent="0.2">
      <c r="I143" s="48"/>
      <c r="K143" s="73" t="s">
        <v>121</v>
      </c>
      <c r="L143" s="77" t="str">
        <f>IFERROR(L141/L$139,"")</f>
        <v/>
      </c>
      <c r="M143" s="77">
        <f t="shared" ca="1" si="3"/>
        <v>5.9772678450054156E-2</v>
      </c>
      <c r="N143" s="77" t="str">
        <f t="shared" si="3"/>
        <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9</v>
      </c>
      <c r="B161" s="53"/>
      <c r="C161" s="78" t="s">
        <v>45</v>
      </c>
      <c r="D161" s="78" t="s">
        <v>122</v>
      </c>
      <c r="E161" s="78" t="s">
        <v>47</v>
      </c>
      <c r="F161" s="78" t="s">
        <v>123</v>
      </c>
      <c r="G161" s="79">
        <v>11</v>
      </c>
      <c r="H161" s="78"/>
      <c r="I161" s="78" t="s">
        <v>45</v>
      </c>
      <c r="J161" s="78" t="s">
        <v>122</v>
      </c>
      <c r="K161" s="78" t="s">
        <v>47</v>
      </c>
      <c r="L161" s="53" t="s">
        <v>123</v>
      </c>
      <c r="R161" s="21"/>
      <c r="S161" s="21"/>
    </row>
    <row r="162" spans="1:19" s="48" customFormat="1" x14ac:dyDescent="0.2">
      <c r="A162" s="49">
        <v>1</v>
      </c>
      <c r="B162" s="53" t="s">
        <v>143</v>
      </c>
      <c r="C162" s="53">
        <v>0</v>
      </c>
      <c r="D162" s="53">
        <v>0.46339656338569241</v>
      </c>
      <c r="E162" s="53">
        <v>0</v>
      </c>
      <c r="F162" s="49">
        <v>12153634</v>
      </c>
      <c r="G162" s="49">
        <v>1</v>
      </c>
      <c r="H162" s="53" t="s">
        <v>143</v>
      </c>
      <c r="I162" s="53">
        <v>0</v>
      </c>
      <c r="J162" s="53">
        <v>0.53336207303275229</v>
      </c>
      <c r="K162" s="53">
        <v>0</v>
      </c>
      <c r="L162" s="49">
        <v>12153634</v>
      </c>
      <c r="R162" s="21"/>
      <c r="S162" s="21"/>
    </row>
    <row r="163" spans="1:19" s="48" customFormat="1" x14ac:dyDescent="0.2">
      <c r="A163" s="49">
        <v>2</v>
      </c>
      <c r="B163" s="53" t="s">
        <v>175</v>
      </c>
      <c r="C163" s="53">
        <v>0</v>
      </c>
      <c r="D163" s="53">
        <v>0.32343977731484624</v>
      </c>
      <c r="E163" s="53">
        <v>0</v>
      </c>
      <c r="F163" s="49">
        <v>553960</v>
      </c>
      <c r="G163" s="49">
        <v>2</v>
      </c>
      <c r="H163" s="53" t="s">
        <v>175</v>
      </c>
      <c r="I163" s="53">
        <v>0</v>
      </c>
      <c r="J163" s="53">
        <v>0.31884292047973689</v>
      </c>
      <c r="K163" s="53">
        <v>0</v>
      </c>
      <c r="L163" s="49">
        <v>553960</v>
      </c>
      <c r="N163" s="48" t="s">
        <v>124</v>
      </c>
      <c r="R163" s="21"/>
      <c r="S163" s="21"/>
    </row>
    <row r="164" spans="1:19" s="48" customFormat="1" x14ac:dyDescent="0.2">
      <c r="A164" s="49">
        <v>3</v>
      </c>
      <c r="B164" s="53" t="s">
        <v>99</v>
      </c>
      <c r="C164" s="53">
        <v>0</v>
      </c>
      <c r="D164" s="53">
        <v>5.4827912839396344E-2</v>
      </c>
      <c r="E164" s="53">
        <v>0</v>
      </c>
      <c r="F164" s="49">
        <v>1692097</v>
      </c>
      <c r="G164" s="49">
        <v>3</v>
      </c>
      <c r="H164" s="53" t="s">
        <v>176</v>
      </c>
      <c r="I164" s="53">
        <v>0</v>
      </c>
      <c r="J164" s="53">
        <v>3.7036129566629147E-2</v>
      </c>
      <c r="K164" s="53">
        <v>0</v>
      </c>
      <c r="L164" s="49">
        <v>11115023</v>
      </c>
      <c r="N164" s="48" t="s">
        <v>125</v>
      </c>
      <c r="R164" s="21"/>
      <c r="S164" s="21"/>
    </row>
    <row r="165" spans="1:19" s="48" customFormat="1" x14ac:dyDescent="0.2">
      <c r="A165" s="49">
        <v>4</v>
      </c>
      <c r="B165" s="53" t="s">
        <v>176</v>
      </c>
      <c r="C165" s="53">
        <v>0</v>
      </c>
      <c r="D165" s="53">
        <v>5.4726708599630379E-2</v>
      </c>
      <c r="E165" s="53">
        <v>0</v>
      </c>
      <c r="F165" s="49">
        <v>11115023</v>
      </c>
      <c r="G165" s="49">
        <v>4</v>
      </c>
      <c r="H165" s="53" t="s">
        <v>179</v>
      </c>
      <c r="I165" s="53">
        <v>0</v>
      </c>
      <c r="J165" s="53">
        <v>2.9695416967099385E-2</v>
      </c>
      <c r="K165" s="53">
        <v>0</v>
      </c>
      <c r="L165" s="49">
        <v>2480382</v>
      </c>
      <c r="R165" s="21"/>
      <c r="S165" s="21"/>
    </row>
    <row r="166" spans="1:19" s="48" customFormat="1" x14ac:dyDescent="0.2">
      <c r="A166" s="49">
        <v>5</v>
      </c>
      <c r="B166" s="53" t="s">
        <v>179</v>
      </c>
      <c r="C166" s="53">
        <v>0</v>
      </c>
      <c r="D166" s="53">
        <v>3.5916302026646009E-2</v>
      </c>
      <c r="E166" s="53">
        <v>0</v>
      </c>
      <c r="F166" s="49">
        <v>2480382</v>
      </c>
      <c r="G166" s="49">
        <v>5</v>
      </c>
      <c r="H166" s="53" t="s">
        <v>99</v>
      </c>
      <c r="I166" s="53">
        <v>0</v>
      </c>
      <c r="J166" s="53">
        <v>2.9600418141881864E-2</v>
      </c>
      <c r="K166" s="53">
        <v>0</v>
      </c>
      <c r="L166" s="49">
        <v>1692097</v>
      </c>
      <c r="R166" s="21"/>
      <c r="S166" s="21"/>
    </row>
    <row r="167" spans="1:19" s="48" customFormat="1" x14ac:dyDescent="0.2">
      <c r="A167" s="49">
        <v>6</v>
      </c>
      <c r="B167" s="53" t="s">
        <v>20</v>
      </c>
      <c r="C167" s="53">
        <v>0</v>
      </c>
      <c r="D167" s="53">
        <v>0</v>
      </c>
      <c r="E167" s="53">
        <v>0</v>
      </c>
      <c r="F167" s="49">
        <v>3689192</v>
      </c>
      <c r="G167" s="49">
        <v>6</v>
      </c>
      <c r="H167" s="53" t="s">
        <v>102</v>
      </c>
      <c r="I167" s="53">
        <v>0</v>
      </c>
      <c r="J167" s="53">
        <v>0</v>
      </c>
      <c r="K167" s="53">
        <v>0</v>
      </c>
      <c r="L167" s="49">
        <v>3050596</v>
      </c>
      <c r="R167" s="21"/>
      <c r="S167" s="21"/>
    </row>
    <row r="168" spans="1:19" s="48" customFormat="1" x14ac:dyDescent="0.2">
      <c r="A168" s="49">
        <v>7</v>
      </c>
      <c r="B168" s="53" t="s">
        <v>102</v>
      </c>
      <c r="C168" s="53">
        <v>0</v>
      </c>
      <c r="D168" s="53">
        <v>0</v>
      </c>
      <c r="E168" s="53">
        <v>0</v>
      </c>
      <c r="F168" s="49">
        <v>3050596</v>
      </c>
      <c r="G168" s="49">
        <v>7</v>
      </c>
      <c r="H168" s="53" t="s">
        <v>20</v>
      </c>
      <c r="I168" s="53">
        <v>0</v>
      </c>
      <c r="J168" s="53">
        <v>0</v>
      </c>
      <c r="K168" s="53">
        <v>0</v>
      </c>
      <c r="L168" s="49">
        <v>3689192</v>
      </c>
      <c r="R168" s="21"/>
      <c r="S168" s="21"/>
    </row>
    <row r="169" spans="1:19" s="48" customFormat="1" x14ac:dyDescent="0.2">
      <c r="A169" s="49">
        <v>8</v>
      </c>
      <c r="B169" s="53" t="s">
        <v>107</v>
      </c>
      <c r="C169" s="53">
        <v>0</v>
      </c>
      <c r="D169" s="53">
        <v>6.7692735833788653E-2</v>
      </c>
      <c r="E169" s="53">
        <v>0</v>
      </c>
      <c r="F169" s="49">
        <v>5920853</v>
      </c>
      <c r="G169" s="49">
        <v>8</v>
      </c>
      <c r="H169" s="53" t="s">
        <v>177</v>
      </c>
      <c r="I169" s="53">
        <v>0</v>
      </c>
      <c r="J169" s="53">
        <v>0</v>
      </c>
      <c r="K169" s="53">
        <v>0</v>
      </c>
      <c r="L169" s="49">
        <v>7434864</v>
      </c>
      <c r="R169" s="21"/>
      <c r="S169" s="21"/>
    </row>
    <row r="170" spans="1:19" s="48" customFormat="1" x14ac:dyDescent="0.2">
      <c r="A170" s="49">
        <v>9</v>
      </c>
      <c r="B170" s="53"/>
      <c r="C170" s="53">
        <v>0</v>
      </c>
      <c r="D170" s="53">
        <v>0</v>
      </c>
      <c r="E170" s="53">
        <v>0</v>
      </c>
      <c r="F170" s="49">
        <v>11115023</v>
      </c>
      <c r="G170" s="49">
        <v>9</v>
      </c>
      <c r="H170" s="53" t="s">
        <v>145</v>
      </c>
      <c r="I170" s="53">
        <v>0</v>
      </c>
      <c r="J170" s="53">
        <v>0</v>
      </c>
      <c r="K170" s="53">
        <v>0</v>
      </c>
      <c r="L170" s="49">
        <v>8497745</v>
      </c>
      <c r="R170" s="21"/>
      <c r="S170" s="21"/>
    </row>
    <row r="171" spans="1:19" s="48" customFormat="1" x14ac:dyDescent="0.2">
      <c r="A171" s="49">
        <v>10</v>
      </c>
      <c r="B171" s="53"/>
      <c r="C171" s="53">
        <v>0</v>
      </c>
      <c r="D171" s="53">
        <v>0</v>
      </c>
      <c r="E171" s="53">
        <v>0</v>
      </c>
      <c r="F171" s="49">
        <v>11115023</v>
      </c>
      <c r="G171" s="49">
        <v>10</v>
      </c>
      <c r="H171" s="53" t="s">
        <v>107</v>
      </c>
      <c r="I171" s="53">
        <v>0</v>
      </c>
      <c r="J171" s="53">
        <v>5.1463041811900423E-2</v>
      </c>
      <c r="K171" s="53">
        <v>0</v>
      </c>
      <c r="L171" s="49">
        <v>5920853</v>
      </c>
      <c r="R171" s="21"/>
      <c r="S171" s="21"/>
    </row>
    <row r="172" spans="1:19" s="48" customFormat="1" x14ac:dyDescent="0.2">
      <c r="A172" s="49">
        <v>11</v>
      </c>
      <c r="B172" s="53"/>
      <c r="C172" s="53">
        <v>0</v>
      </c>
      <c r="D172" s="53">
        <v>0</v>
      </c>
      <c r="E172" s="53">
        <v>0</v>
      </c>
      <c r="F172" s="49">
        <v>11115023</v>
      </c>
      <c r="G172" s="49">
        <v>11</v>
      </c>
      <c r="H172" s="53"/>
      <c r="I172" s="53">
        <v>0</v>
      </c>
      <c r="J172" s="53">
        <v>0</v>
      </c>
      <c r="K172" s="53">
        <v>0</v>
      </c>
      <c r="L172" s="49">
        <v>11115023</v>
      </c>
      <c r="R172" s="21"/>
      <c r="S172" s="21"/>
    </row>
    <row r="173" spans="1:19" s="48" customFormat="1" x14ac:dyDescent="0.2">
      <c r="A173" s="49">
        <v>12</v>
      </c>
      <c r="B173" s="53"/>
      <c r="C173" s="53">
        <v>0</v>
      </c>
      <c r="D173" s="53">
        <v>0</v>
      </c>
      <c r="E173" s="53">
        <v>0</v>
      </c>
      <c r="F173" s="49">
        <v>11115023</v>
      </c>
      <c r="G173" s="49">
        <v>12</v>
      </c>
      <c r="H173" s="53"/>
      <c r="I173" s="53">
        <v>0</v>
      </c>
      <c r="J173" s="53">
        <v>0</v>
      </c>
      <c r="K173" s="53">
        <v>0</v>
      </c>
      <c r="L173" s="49">
        <v>11115023</v>
      </c>
      <c r="R173" s="21"/>
      <c r="S173" s="21"/>
    </row>
    <row r="174" spans="1:19" s="48" customFormat="1" x14ac:dyDescent="0.2">
      <c r="A174" s="49">
        <v>13</v>
      </c>
      <c r="B174" s="53"/>
      <c r="C174" s="53">
        <v>0</v>
      </c>
      <c r="D174" s="53">
        <v>0</v>
      </c>
      <c r="E174" s="53">
        <v>0</v>
      </c>
      <c r="F174" s="49">
        <v>11115023</v>
      </c>
      <c r="G174" s="49">
        <v>13</v>
      </c>
      <c r="H174" s="53"/>
      <c r="I174" s="53">
        <v>0</v>
      </c>
      <c r="J174" s="53">
        <v>0</v>
      </c>
      <c r="K174" s="53">
        <v>0</v>
      </c>
      <c r="L174" s="49">
        <v>11115023</v>
      </c>
      <c r="R174" s="21"/>
      <c r="S174" s="21"/>
    </row>
    <row r="175" spans="1:19" s="48" customFormat="1" x14ac:dyDescent="0.2">
      <c r="A175" s="49">
        <v>14</v>
      </c>
      <c r="B175" s="53"/>
      <c r="C175" s="53">
        <v>0</v>
      </c>
      <c r="D175" s="53">
        <v>0</v>
      </c>
      <c r="E175" s="53">
        <v>0</v>
      </c>
      <c r="F175" s="49">
        <v>11115023</v>
      </c>
      <c r="G175" s="49">
        <v>14</v>
      </c>
      <c r="H175" s="53"/>
      <c r="I175" s="53">
        <v>0</v>
      </c>
      <c r="J175" s="53">
        <v>0</v>
      </c>
      <c r="K175" s="53">
        <v>0</v>
      </c>
      <c r="L175" s="49">
        <v>11115023</v>
      </c>
      <c r="R175" s="21"/>
      <c r="S175" s="21"/>
    </row>
    <row r="176" spans="1:19" s="48" customFormat="1" x14ac:dyDescent="0.2">
      <c r="A176" s="49">
        <v>15</v>
      </c>
      <c r="B176" s="53"/>
      <c r="C176" s="53">
        <v>0</v>
      </c>
      <c r="D176" s="53">
        <v>0</v>
      </c>
      <c r="E176" s="53">
        <v>0</v>
      </c>
      <c r="F176" s="49">
        <v>11115023</v>
      </c>
      <c r="G176" s="49">
        <v>15</v>
      </c>
      <c r="H176" s="53"/>
      <c r="I176" s="53">
        <v>0</v>
      </c>
      <c r="J176" s="53">
        <v>0</v>
      </c>
      <c r="K176" s="53">
        <v>0</v>
      </c>
      <c r="L176" s="49">
        <v>11115023</v>
      </c>
      <c r="R176" s="21"/>
      <c r="S176" s="21"/>
    </row>
    <row r="177" spans="1:19" s="48" customFormat="1" x14ac:dyDescent="0.2">
      <c r="A177" s="49">
        <v>16</v>
      </c>
      <c r="B177" s="53"/>
      <c r="C177" s="53">
        <v>0</v>
      </c>
      <c r="D177" s="53">
        <v>0</v>
      </c>
      <c r="E177" s="53">
        <v>0</v>
      </c>
      <c r="F177" s="49">
        <v>11115023</v>
      </c>
      <c r="G177" s="49">
        <v>16</v>
      </c>
      <c r="H177" s="53"/>
      <c r="I177" s="53">
        <v>0</v>
      </c>
      <c r="J177" s="53">
        <v>0</v>
      </c>
      <c r="K177" s="53">
        <v>0</v>
      </c>
      <c r="L177" s="49">
        <v>11115023</v>
      </c>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45EDD67F-A817-4D86-8153-8A8803C58210}">
      <formula1>$C$112:$C$113</formula1>
    </dataValidation>
  </dataValidations>
  <hyperlinks>
    <hyperlink ref="O1:P1" location="Home_page" display="Back to home page" xr:uid="{99B1B079-6BB8-4E29-92E0-2251A38981E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CDE9E11C-AC00-4D77-AE3F-BD3888AB9E76}">
          <x14:colorSeries rgb="FF323232"/>
          <x14:colorNegative rgb="FFD00000"/>
          <x14:colorAxis rgb="FF000000"/>
          <x14:colorMarkers rgb="FFD00000"/>
          <x14:colorFirst rgb="FFD00000"/>
          <x14:colorLast rgb="FFD00000"/>
          <x14:colorHigh rgb="FFD00000"/>
          <x14:colorLow rgb="FFD00000"/>
          <x14:sparklines>
            <x14:sparkline>
              <xm:f>'Area VIIb-k trawlers 24-40m'!D3:N3</xm:f>
              <xm:sqref>C3</xm:sqref>
            </x14:sparkline>
            <x14:sparkline>
              <xm:f>'Area VIIb-k trawlers 24-40m'!D4:N4</xm:f>
              <xm:sqref>C4</xm:sqref>
            </x14:sparkline>
            <x14:sparkline>
              <xm:f>'Area VIIb-k trawlers 24-40m'!D5:N5</xm:f>
              <xm:sqref>C5</xm:sqref>
            </x14:sparkline>
            <x14:sparkline>
              <xm:f>'Area VIIb-k trawlers 24-40m'!D6:N6</xm:f>
              <xm:sqref>C6</xm:sqref>
            </x14:sparkline>
            <x14:sparkline>
              <xm:f>'Area VIIb-k trawlers 24-40m'!D7:N7</xm:f>
              <xm:sqref>C7</xm:sqref>
            </x14:sparkline>
            <x14:sparkline>
              <xm:f>'Area VIIb-k trawlers 24-40m'!D8:N8</xm:f>
              <xm:sqref>C8</xm:sqref>
            </x14:sparkline>
            <x14:sparkline>
              <xm:f>'Area VIIb-k trawlers 24-40m'!D9:N9</xm:f>
              <xm:sqref>C9</xm:sqref>
            </x14:sparkline>
            <x14:sparkline>
              <xm:f>'Area VIIb-k trawlers 24-40m'!D10:N10</xm:f>
              <xm:sqref>C10</xm:sqref>
            </x14:sparkline>
            <x14:sparkline>
              <xm:f>'Area VIIb-k trawlers 24-40m'!D11:N11</xm:f>
              <xm:sqref>C11</xm:sqref>
            </x14:sparkline>
            <x14:sparkline>
              <xm:f>'Area VIIb-k trawlers 24-40m'!D12:N12</xm:f>
              <xm:sqref>C12</xm:sqref>
            </x14:sparkline>
            <x14:sparkline>
              <xm:f>'Area VIIb-k trawlers 24-40m'!D13:N13</xm:f>
              <xm:sqref>C13</xm:sqref>
            </x14:sparkline>
            <x14:sparkline>
              <xm:f>'Area VIIb-k trawlers 24-40m'!D14:N14</xm:f>
              <xm:sqref>C14</xm:sqref>
            </x14:sparkline>
            <x14:sparkline>
              <xm:f>'Area VIIb-k trawlers 24-40m'!D15:N15</xm:f>
              <xm:sqref>C15</xm:sqref>
            </x14:sparkline>
            <x14:sparkline>
              <xm:f>'Area VIIb-k trawlers 24-40m'!D16:N16</xm:f>
              <xm:sqref>C16</xm:sqref>
            </x14:sparkline>
            <x14:sparkline>
              <xm:f>'Area VIIb-k trawlers 24-40m'!D17:N17</xm:f>
              <xm:sqref>C17</xm:sqref>
            </x14:sparkline>
            <x14:sparkline>
              <xm:f>'Area VIIb-k trawlers 24-40m'!D18:N18</xm:f>
              <xm:sqref>C18</xm:sqref>
            </x14:sparkline>
            <x14:sparkline>
              <xm:f>'Area VIIb-k trawlers 24-40m'!D19:N19</xm:f>
              <xm:sqref>C19</xm:sqref>
            </x14:sparkline>
            <x14:sparkline>
              <xm:f>'Area VIIb-k trawlers 24-40m'!D20:N20</xm:f>
              <xm:sqref>C20</xm:sqref>
            </x14:sparkline>
            <x14:sparkline>
              <xm:f>'Area VIIb-k trawlers 24-40m'!D21:N21</xm:f>
              <xm:sqref>C21</xm:sqref>
            </x14:sparkline>
            <x14:sparkline>
              <xm:f>'Area VIIb-k trawlers 24-40m'!D22:N22</xm:f>
              <xm:sqref>C22</xm:sqref>
            </x14:sparkline>
            <x14:sparkline>
              <xm:f>'Area VIIb-k trawlers 24-40m'!D23:N23</xm:f>
              <xm:sqref>C23</xm:sqref>
            </x14:sparkline>
            <x14:sparkline>
              <xm:f>'Area VIIb-k trawlers 24-40m'!D24:N24</xm:f>
              <xm:sqref>C24</xm:sqref>
            </x14:sparkline>
            <x14:sparkline>
              <xm:f>'Area VIIb-k trawlers 24-40m'!D25:N25</xm:f>
              <xm:sqref>C25</xm:sqref>
            </x14:sparkline>
            <x14:sparkline>
              <xm:f>'Area VIIb-k trawlers 24-40m'!D26:N26</xm:f>
              <xm:sqref>C26</xm:sqref>
            </x14:sparkline>
            <x14:sparkline>
              <xm:f>'Area VIIb-k trawlers 24-40m'!D27:N27</xm:f>
              <xm:sqref>C27</xm:sqref>
            </x14:sparkline>
            <x14:sparkline>
              <xm:f>'Area VIIb-k trawlers 24-40m'!D28:N28</xm:f>
              <xm:sqref>C28</xm:sqref>
            </x14:sparkline>
            <x14:sparkline>
              <xm:f>'Area VIIb-k trawlers 24-40m'!D29:N29</xm:f>
              <xm:sqref>C29</xm:sqref>
            </x14:sparkline>
            <x14:sparkline>
              <xm:f>'Area VIIb-k trawlers 24-40m'!D30:N30</xm:f>
              <xm:sqref>C30</xm:sqref>
            </x14:sparkline>
            <x14:sparkline>
              <xm:f>'Area VIIb-k trawlers 24-40m'!D31:N31</xm:f>
              <xm:sqref>C31</xm:sqref>
            </x14:sparkline>
            <x14:sparkline>
              <xm:f>'Area VIIb-k trawlers 24-40m'!D32:N32</xm:f>
              <xm:sqref>C32</xm:sqref>
            </x14:sparkline>
            <x14:sparkline>
              <xm:f>'Area VIIb-k trawlers 24-40m'!D33:N33</xm:f>
              <xm:sqref>C33</xm:sqref>
            </x14:sparkline>
            <x14:sparkline>
              <xm:f>'Area VIIb-k trawlers 24-40m'!D34:N34</xm:f>
              <xm:sqref>C34</xm:sqref>
            </x14:sparkline>
            <x14:sparkline>
              <xm:f>'Area VIIb-k trawlers 24-40m'!D35:N35</xm:f>
              <xm:sqref>C35</xm:sqref>
            </x14:sparkline>
            <x14:sparkline>
              <xm:f>'Area VIIb-k trawlers 24-40m'!D36:N36</xm:f>
              <xm:sqref>C36</xm:sqref>
            </x14:sparkline>
            <x14:sparkline>
              <xm:f>'Area VIIb-k trawlers 24-40m'!D37:N37</xm:f>
              <xm:sqref>C37</xm:sqref>
            </x14:sparkline>
            <x14:sparkline>
              <xm:f>'Area VIIb-k trawlers 24-40m'!D38:N38</xm:f>
              <xm:sqref>C38</xm:sqref>
            </x14:sparkline>
            <x14:sparkline>
              <xm:f>'Area VIIb-k trawlers 24-40m'!D39:N39</xm:f>
              <xm:sqref>C39</xm:sqref>
            </x14:sparkline>
            <x14:sparkline>
              <xm:f>'Area VIIb-k trawlers 24-40m'!D40:N40</xm:f>
              <xm:sqref>C40</xm:sqref>
            </x14:sparkline>
            <x14:sparkline>
              <xm:f>'Area VIIb-k trawlers 24-40m'!D41:N41</xm:f>
              <xm:sqref>C41</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44E12-5239-4829-ABE9-3217480C7732}">
  <sheetPr codeName="Feuil10">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180</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61</v>
      </c>
      <c r="E3" s="28">
        <v>60</v>
      </c>
      <c r="F3" s="28">
        <v>61</v>
      </c>
      <c r="G3" s="28">
        <v>65</v>
      </c>
      <c r="H3" s="28">
        <v>68</v>
      </c>
      <c r="I3" s="28">
        <v>63</v>
      </c>
      <c r="J3" s="28">
        <v>61</v>
      </c>
      <c r="K3" s="28">
        <v>59</v>
      </c>
      <c r="L3" s="28">
        <v>54</v>
      </c>
      <c r="M3" s="28">
        <v>48</v>
      </c>
      <c r="N3" s="28">
        <v>44</v>
      </c>
      <c r="O3" s="29">
        <f t="shared" ref="O3:O41" si="0">IF(N3=0,"",IFERROR(IF(AND(N3&gt;0,D3&lt;0),"na",IF(AND(N3&lt;0,D3&lt;0),-1,1)*(N3-D3)/D3),""))</f>
        <v>-0.27868852459016391</v>
      </c>
      <c r="P3" s="29">
        <f t="shared" ref="P3:P41" si="1">IF(N3=0,"",IFERROR(IF(AND(N3&gt;0,J3&lt;0),"na",IF(AND(N3&lt;0,J3&lt;0),-1,1)*(N3-J3)/J3),""))</f>
        <v>-0.27868852459016391</v>
      </c>
    </row>
    <row r="4" spans="1:17" ht="18" customHeight="1" x14ac:dyDescent="0.2">
      <c r="A4" s="193"/>
      <c r="B4" s="30" t="s">
        <v>55</v>
      </c>
      <c r="C4" s="31"/>
      <c r="D4" s="31">
        <v>11705</v>
      </c>
      <c r="E4" s="31">
        <v>12016</v>
      </c>
      <c r="F4" s="31">
        <v>11811</v>
      </c>
      <c r="G4" s="31">
        <v>12482</v>
      </c>
      <c r="H4" s="31">
        <v>13162</v>
      </c>
      <c r="I4" s="31">
        <v>12811</v>
      </c>
      <c r="J4" s="31">
        <v>11641</v>
      </c>
      <c r="K4" s="31">
        <v>11690</v>
      </c>
      <c r="L4" s="31">
        <v>10150</v>
      </c>
      <c r="M4" s="31">
        <v>10126</v>
      </c>
      <c r="N4" s="31">
        <v>8991</v>
      </c>
      <c r="O4" s="29">
        <f t="shared" si="0"/>
        <v>-0.23186672362238359</v>
      </c>
      <c r="P4" s="29">
        <f t="shared" si="1"/>
        <v>-0.22764367322394982</v>
      </c>
    </row>
    <row r="5" spans="1:17" ht="18" customHeight="1" x14ac:dyDescent="0.2">
      <c r="A5" s="193"/>
      <c r="B5" s="30" t="s">
        <v>56</v>
      </c>
      <c r="C5" s="31"/>
      <c r="D5" s="31">
        <v>2151</v>
      </c>
      <c r="E5" s="31">
        <v>2312</v>
      </c>
      <c r="F5" s="31">
        <v>2332</v>
      </c>
      <c r="G5" s="31">
        <v>2182</v>
      </c>
      <c r="H5" s="31">
        <v>2189</v>
      </c>
      <c r="I5" s="31">
        <v>2235</v>
      </c>
      <c r="J5" s="31">
        <v>1880</v>
      </c>
      <c r="K5" s="31">
        <v>2084</v>
      </c>
      <c r="L5" s="31">
        <v>1711</v>
      </c>
      <c r="M5" s="31">
        <v>1661</v>
      </c>
      <c r="N5" s="31">
        <v>1417.75</v>
      </c>
      <c r="O5" s="29">
        <f t="shared" si="0"/>
        <v>-0.34088795908879593</v>
      </c>
      <c r="P5" s="29">
        <f t="shared" si="1"/>
        <v>-0.24587765957446808</v>
      </c>
      <c r="Q5" s="32"/>
    </row>
    <row r="6" spans="1:17" ht="18" customHeight="1" x14ac:dyDescent="0.2">
      <c r="A6" s="193"/>
      <c r="B6" s="30" t="s">
        <v>57</v>
      </c>
      <c r="C6" s="31"/>
      <c r="D6" s="31">
        <v>9463.888671875</v>
      </c>
      <c r="E6" s="31">
        <v>9653.83984375</v>
      </c>
      <c r="F6" s="31">
        <v>9643.0751953125</v>
      </c>
      <c r="G6" s="31">
        <v>10004.26171875</v>
      </c>
      <c r="H6" s="31">
        <v>10404.2978515625</v>
      </c>
      <c r="I6" s="31">
        <v>10006.4755859375</v>
      </c>
      <c r="J6" s="31">
        <v>9243.576171875</v>
      </c>
      <c r="K6" s="31">
        <v>9243.126953125</v>
      </c>
      <c r="L6" s="31">
        <v>8092.45361328125</v>
      </c>
      <c r="M6" s="31">
        <v>7315.97998046875</v>
      </c>
      <c r="N6" s="31">
        <v>6944.97802734375</v>
      </c>
      <c r="O6" s="29">
        <f t="shared" si="0"/>
        <v>-0.26616021509392923</v>
      </c>
      <c r="P6" s="29">
        <f t="shared" si="1"/>
        <v>-0.24866978989420652</v>
      </c>
    </row>
    <row r="7" spans="1:17" ht="18" customHeight="1" x14ac:dyDescent="0.2">
      <c r="A7" s="193"/>
      <c r="B7" s="30" t="s">
        <v>58</v>
      </c>
      <c r="C7" s="31"/>
      <c r="D7" s="31">
        <v>9473.67578125</v>
      </c>
      <c r="E7" s="31">
        <v>11317.41015625</v>
      </c>
      <c r="F7" s="31">
        <v>10007.3603515625</v>
      </c>
      <c r="G7" s="31">
        <v>9938.84375</v>
      </c>
      <c r="H7" s="31">
        <v>8740.443359375</v>
      </c>
      <c r="I7" s="31">
        <v>9578.2529296875</v>
      </c>
      <c r="J7" s="31">
        <v>8428.2880859375</v>
      </c>
      <c r="K7" s="31">
        <v>6787.98193359375</v>
      </c>
      <c r="L7" s="31">
        <v>5865.54296875</v>
      </c>
      <c r="M7" s="31">
        <v>4182.3232421875</v>
      </c>
      <c r="N7" s="31">
        <v>3733.7001953125</v>
      </c>
      <c r="O7" s="29">
        <f t="shared" si="0"/>
        <v>-0.60588685094099148</v>
      </c>
      <c r="P7" s="29">
        <f t="shared" si="1"/>
        <v>-0.55700372872373272</v>
      </c>
    </row>
    <row r="8" spans="1:17" ht="18" customHeight="1" x14ac:dyDescent="0.2">
      <c r="A8" s="193"/>
      <c r="B8" s="30" t="s">
        <v>59</v>
      </c>
      <c r="C8" s="33"/>
      <c r="D8" s="33">
        <f ca="1">16.955642*OFFSET(D$112,MATCH($N$1,$C$112:$C$113,0)-1,0)</f>
        <v>16.955642000000001</v>
      </c>
      <c r="E8" s="33">
        <f ca="1">17.665876*OFFSET(E$112,MATCH($N$1,$C$112:$C$113,0)-1,0)</f>
        <v>17.665876000000001</v>
      </c>
      <c r="F8" s="33">
        <f ca="1">16.791832*OFFSET(F$112,MATCH($N$1,$C$112:$C$113,0)-1,0)</f>
        <v>16.791831999999999</v>
      </c>
      <c r="G8" s="33">
        <f ca="1">17.68509*OFFSET(G$112,MATCH($N$1,$C$112:$C$113,0)-1,0)</f>
        <v>17.685089999999999</v>
      </c>
      <c r="H8" s="33">
        <f ca="1">16.178096*OFFSET(H$112,MATCH($N$1,$C$112:$C$113,0)-1,0)</f>
        <v>16.178096</v>
      </c>
      <c r="I8" s="33">
        <f ca="1">17.584026*OFFSET(I$112,MATCH($N$1,$C$112:$C$113,0)-1,0)</f>
        <v>17.584026000000001</v>
      </c>
      <c r="J8" s="33">
        <f ca="1">18.113942*OFFSET(J$112,MATCH($N$1,$C$112:$C$113,0)-1,0)</f>
        <v>18.113942000000002</v>
      </c>
      <c r="K8" s="33">
        <f ca="1">12.488105*OFFSET(K$112,MATCH($N$1,$C$112:$C$113,0)-1,0)</f>
        <v>12.488104999999999</v>
      </c>
      <c r="L8" s="33">
        <f ca="1">12.124151*OFFSET(L$112,MATCH($N$1,$C$112:$C$113,0)-1,0)</f>
        <v>12.124150999999999</v>
      </c>
      <c r="M8" s="33">
        <f ca="1">7.2530335*OFFSET(M$112,MATCH($N$1,$C$112:$C$113,0)-1,0)</f>
        <v>7.2530334999999999</v>
      </c>
      <c r="N8" s="33">
        <v>8.9079449999999998</v>
      </c>
      <c r="O8" s="29">
        <f t="shared" ca="1" si="0"/>
        <v>-0.47463239669721741</v>
      </c>
      <c r="P8" s="29">
        <f t="shared" ca="1" si="1"/>
        <v>-0.5082271434898048</v>
      </c>
    </row>
    <row r="9" spans="1:17" ht="18" customHeight="1" x14ac:dyDescent="0.2">
      <c r="A9" s="193"/>
      <c r="B9" s="30" t="s">
        <v>60</v>
      </c>
      <c r="C9" s="31"/>
      <c r="D9" s="31">
        <v>10389</v>
      </c>
      <c r="E9" s="31">
        <v>9836</v>
      </c>
      <c r="F9" s="31">
        <v>10085</v>
      </c>
      <c r="G9" s="31">
        <v>10615</v>
      </c>
      <c r="H9" s="31">
        <v>10163</v>
      </c>
      <c r="I9" s="31">
        <v>10701</v>
      </c>
      <c r="J9" s="31">
        <v>9853</v>
      </c>
      <c r="K9" s="31">
        <v>8567</v>
      </c>
      <c r="L9" s="31">
        <v>8076</v>
      </c>
      <c r="M9" s="31">
        <v>6104</v>
      </c>
      <c r="N9" s="31">
        <v>6345</v>
      </c>
      <c r="O9" s="29">
        <f t="shared" si="0"/>
        <v>-0.38925786889979785</v>
      </c>
      <c r="P9" s="29">
        <f t="shared" si="1"/>
        <v>-0.35603369532122198</v>
      </c>
    </row>
    <row r="10" spans="1:17" ht="18" customHeight="1" x14ac:dyDescent="0.2">
      <c r="A10" s="193"/>
      <c r="B10" s="30" t="s">
        <v>61</v>
      </c>
      <c r="C10" s="31"/>
      <c r="D10" s="31">
        <v>236.95057678222656</v>
      </c>
      <c r="E10" s="31">
        <v>274.87200927734375</v>
      </c>
      <c r="F10" s="31">
        <v>200.30113220214844</v>
      </c>
      <c r="G10" s="31">
        <v>206.7518310546875</v>
      </c>
      <c r="H10" s="31">
        <v>175.43701171875</v>
      </c>
      <c r="I10" s="31">
        <v>227.07850646972656</v>
      </c>
      <c r="J10" s="31">
        <v>194.07333374023438</v>
      </c>
      <c r="K10" s="31">
        <v>183.52615356445313</v>
      </c>
      <c r="L10" s="31">
        <v>145.15744018554688</v>
      </c>
      <c r="M10" s="31">
        <v>135.191162109375</v>
      </c>
      <c r="N10" s="31">
        <v>142.05305480957031</v>
      </c>
      <c r="O10" s="34">
        <f t="shared" si="0"/>
        <v>-0.40049500305658015</v>
      </c>
      <c r="P10" s="34">
        <f t="shared" si="1"/>
        <v>-0.26804444447938836</v>
      </c>
    </row>
    <row r="11" spans="1:17" ht="18" customHeight="1" x14ac:dyDescent="0.2">
      <c r="A11" s="194" t="s">
        <v>27</v>
      </c>
      <c r="B11" s="35" t="s">
        <v>62</v>
      </c>
      <c r="C11" s="36"/>
      <c r="D11" s="36">
        <v>13.396557807922363</v>
      </c>
      <c r="E11" s="36">
        <v>13.61199951171875</v>
      </c>
      <c r="F11" s="36">
        <v>13.61983585357666</v>
      </c>
      <c r="G11" s="36">
        <v>13.229077339172363</v>
      </c>
      <c r="H11" s="36">
        <v>13.075588226318359</v>
      </c>
      <c r="I11" s="36">
        <v>13.191587448120117</v>
      </c>
      <c r="J11" s="36">
        <v>12.953934669494629</v>
      </c>
      <c r="K11" s="36">
        <v>13.153559684753418</v>
      </c>
      <c r="L11" s="36">
        <v>12.924629211425781</v>
      </c>
      <c r="M11" s="36">
        <v>13.174374580383301</v>
      </c>
      <c r="N11" s="36">
        <v>12.790226936340332</v>
      </c>
      <c r="O11" s="29">
        <f t="shared" si="0"/>
        <v>-4.5260198946289285E-2</v>
      </c>
      <c r="P11" s="29">
        <f t="shared" si="1"/>
        <v>-1.2637684018880697E-2</v>
      </c>
    </row>
    <row r="12" spans="1:17" ht="18" customHeight="1" x14ac:dyDescent="0.2">
      <c r="A12" s="195"/>
      <c r="B12" s="37" t="s">
        <v>55</v>
      </c>
      <c r="C12" s="31"/>
      <c r="D12" s="31">
        <v>191.88523864746094</v>
      </c>
      <c r="E12" s="31">
        <v>200.26666259765625</v>
      </c>
      <c r="F12" s="31">
        <v>193.62295532226563</v>
      </c>
      <c r="G12" s="31">
        <v>192.03076171875</v>
      </c>
      <c r="H12" s="31">
        <v>193.55882263183594</v>
      </c>
      <c r="I12" s="31">
        <v>203.34921264648438</v>
      </c>
      <c r="J12" s="31">
        <v>190.8360595703125</v>
      </c>
      <c r="K12" s="31">
        <v>198.13558959960938</v>
      </c>
      <c r="L12" s="31">
        <v>187.96296691894531</v>
      </c>
      <c r="M12" s="31">
        <v>210.95832824707031</v>
      </c>
      <c r="N12" s="31">
        <v>204.34091186523438</v>
      </c>
      <c r="O12" s="29">
        <f t="shared" si="0"/>
        <v>6.4912096967800051E-2</v>
      </c>
      <c r="P12" s="29">
        <f t="shared" si="1"/>
        <v>7.0766773980396963E-2</v>
      </c>
    </row>
    <row r="13" spans="1:17" ht="18" customHeight="1" x14ac:dyDescent="0.2">
      <c r="A13" s="195"/>
      <c r="B13" s="37" t="s">
        <v>56</v>
      </c>
      <c r="C13" s="31"/>
      <c r="D13" s="31">
        <v>35.262294769287109</v>
      </c>
      <c r="E13" s="31">
        <v>38.533332824707031</v>
      </c>
      <c r="F13" s="31">
        <v>38.229507446289063</v>
      </c>
      <c r="G13" s="31">
        <v>33.569229125976563</v>
      </c>
      <c r="H13" s="31">
        <v>32.191177368164063</v>
      </c>
      <c r="I13" s="31">
        <v>35.476188659667969</v>
      </c>
      <c r="J13" s="31">
        <v>30.819671630859375</v>
      </c>
      <c r="K13" s="31">
        <v>35.322032928466797</v>
      </c>
      <c r="L13" s="31">
        <v>31.685184478759766</v>
      </c>
      <c r="M13" s="31">
        <v>34.604167938232422</v>
      </c>
      <c r="N13" s="31">
        <v>32.221591949462891</v>
      </c>
      <c r="O13" s="29">
        <f t="shared" si="0"/>
        <v>-8.623099658484569E-2</v>
      </c>
      <c r="P13" s="29">
        <f t="shared" si="1"/>
        <v>4.548784086329425E-2</v>
      </c>
    </row>
    <row r="14" spans="1:17" ht="18" customHeight="1" x14ac:dyDescent="0.2">
      <c r="A14" s="195"/>
      <c r="B14" s="37" t="s">
        <v>57</v>
      </c>
      <c r="C14" s="31"/>
      <c r="D14" s="31">
        <v>155.14570617675781</v>
      </c>
      <c r="E14" s="31">
        <v>160.89732360839844</v>
      </c>
      <c r="F14" s="31">
        <v>158.08319091796875</v>
      </c>
      <c r="G14" s="31">
        <v>153.91171264648438</v>
      </c>
      <c r="H14" s="31">
        <v>153.00437927246094</v>
      </c>
      <c r="I14" s="31">
        <v>158.83294677734375</v>
      </c>
      <c r="J14" s="31">
        <v>151.53402709960938</v>
      </c>
      <c r="K14" s="31">
        <v>156.66317749023438</v>
      </c>
      <c r="L14" s="31">
        <v>149.86024475097656</v>
      </c>
      <c r="M14" s="31">
        <v>155.65914916992188</v>
      </c>
      <c r="N14" s="31">
        <v>157.84040832519531</v>
      </c>
      <c r="O14" s="29">
        <f t="shared" si="0"/>
        <v>1.7368847742182569E-2</v>
      </c>
      <c r="P14" s="29">
        <f t="shared" si="1"/>
        <v>4.1616931499091625E-2</v>
      </c>
    </row>
    <row r="15" spans="1:17" ht="18" customHeight="1" x14ac:dyDescent="0.2">
      <c r="A15" s="195"/>
      <c r="B15" s="37" t="s">
        <v>58</v>
      </c>
      <c r="C15" s="33"/>
      <c r="D15" s="33">
        <v>155.30616760253906</v>
      </c>
      <c r="E15" s="33">
        <v>188.62350463867188</v>
      </c>
      <c r="F15" s="33">
        <v>164.05508422851563</v>
      </c>
      <c r="G15" s="33">
        <v>152.90528869628906</v>
      </c>
      <c r="H15" s="33">
        <v>128.53593444824219</v>
      </c>
      <c r="I15" s="33">
        <v>152.03575134277344</v>
      </c>
      <c r="J15" s="33">
        <v>138.16865539550781</v>
      </c>
      <c r="K15" s="33">
        <v>115.05054473876953</v>
      </c>
      <c r="L15" s="33">
        <v>108.62117004394531</v>
      </c>
      <c r="M15" s="33">
        <v>87.131729125976563</v>
      </c>
      <c r="N15" s="33">
        <v>84.856826782226563</v>
      </c>
      <c r="O15" s="29">
        <f t="shared" si="0"/>
        <v>-0.45361586025744377</v>
      </c>
      <c r="P15" s="29">
        <f t="shared" si="1"/>
        <v>-0.38584604055584187</v>
      </c>
    </row>
    <row r="16" spans="1:17" ht="18" customHeight="1" x14ac:dyDescent="0.2">
      <c r="A16" s="195"/>
      <c r="B16" s="37" t="s">
        <v>63</v>
      </c>
      <c r="C16" s="33"/>
      <c r="D16" s="33">
        <f ca="1">277.96134375*OFFSET(D$112,MATCH($N$1,$C$112:$C$113,0)-1,0)</f>
        <v>277.96134375000003</v>
      </c>
      <c r="E16" s="33">
        <f ca="1">294.43125*OFFSET(E$112,MATCH($N$1,$C$112:$C$113,0)-1,0)</f>
        <v>294.43124999999998</v>
      </c>
      <c r="F16" s="33">
        <f ca="1">275.2759375*OFFSET(F$112,MATCH($N$1,$C$112:$C$113,0)-1,0)</f>
        <v>275.2759375</v>
      </c>
      <c r="G16" s="33">
        <f ca="1">272.07828125*OFFSET(G$112,MATCH($N$1,$C$112:$C$113,0)-1,0)</f>
        <v>272.07828124999997</v>
      </c>
      <c r="H16" s="33">
        <f ca="1">237.9131875*OFFSET(H$112,MATCH($N$1,$C$112:$C$113,0)-1,0)</f>
        <v>237.91318749999999</v>
      </c>
      <c r="I16" s="33">
        <f ca="1">279.1115*OFFSET(I$112,MATCH($N$1,$C$112:$C$113,0)-1,0)</f>
        <v>279.11149999999998</v>
      </c>
      <c r="J16" s="33">
        <f ca="1">296.949875*OFFSET(J$112,MATCH($N$1,$C$112:$C$113,0)-1,0)</f>
        <v>296.94987500000002</v>
      </c>
      <c r="K16" s="33">
        <f ca="1">211.662796875*OFFSET(K$112,MATCH($N$1,$C$112:$C$113,0)-1,0)</f>
        <v>211.662796875</v>
      </c>
      <c r="L16" s="33">
        <f ca="1">224.5213125*OFFSET(L$112,MATCH($N$1,$C$112:$C$113,0)-1,0)</f>
        <v>224.52131249999999</v>
      </c>
      <c r="M16" s="33">
        <f ca="1">151.104859375*OFFSET(M$112,MATCH($N$1,$C$112:$C$113,0)-1,0)</f>
        <v>151.10485937499999</v>
      </c>
      <c r="N16" s="33">
        <v>202.45328125</v>
      </c>
      <c r="O16" s="29">
        <f t="shared" ca="1" si="0"/>
        <v>-0.27164950881771671</v>
      </c>
      <c r="P16" s="29">
        <f t="shared" ca="1" si="1"/>
        <v>-0.3182240563327397</v>
      </c>
    </row>
    <row r="17" spans="1:16" ht="18" customHeight="1" x14ac:dyDescent="0.2">
      <c r="A17" s="195"/>
      <c r="B17" s="37" t="s">
        <v>60</v>
      </c>
      <c r="C17" s="31"/>
      <c r="D17" s="31">
        <v>170.31147766113281</v>
      </c>
      <c r="E17" s="31">
        <v>163.93333435058594</v>
      </c>
      <c r="F17" s="31">
        <v>165.32786560058594</v>
      </c>
      <c r="G17" s="31">
        <v>163.30769348144531</v>
      </c>
      <c r="H17" s="31">
        <v>149.45588684082031</v>
      </c>
      <c r="I17" s="31">
        <v>169.85714721679688</v>
      </c>
      <c r="J17" s="31">
        <v>161.52459716796875</v>
      </c>
      <c r="K17" s="31">
        <v>145.20338439941406</v>
      </c>
      <c r="L17" s="31">
        <v>149.55555725097656</v>
      </c>
      <c r="M17" s="31">
        <v>127.16666412353516</v>
      </c>
      <c r="N17" s="31">
        <v>144.20454406738281</v>
      </c>
      <c r="O17" s="29">
        <f t="shared" si="0"/>
        <v>-0.15328933758472066</v>
      </c>
      <c r="P17" s="29">
        <f t="shared" si="1"/>
        <v>-0.10722857945019289</v>
      </c>
    </row>
    <row r="18" spans="1:16" ht="18" customHeight="1" x14ac:dyDescent="0.2">
      <c r="A18" s="195"/>
      <c r="B18" s="37" t="s">
        <v>64</v>
      </c>
      <c r="C18" s="31"/>
      <c r="D18" s="31">
        <v>25.918033599853516</v>
      </c>
      <c r="E18" s="31">
        <v>26.549999237060547</v>
      </c>
      <c r="F18" s="31">
        <v>27.196722030639648</v>
      </c>
      <c r="G18" s="31">
        <v>26.492307662963867</v>
      </c>
      <c r="H18" s="31">
        <v>26.514705657958984</v>
      </c>
      <c r="I18" s="31">
        <v>25.761905670166016</v>
      </c>
      <c r="J18" s="31">
        <v>26.704917907714844</v>
      </c>
      <c r="K18" s="31">
        <v>27.762712478637695</v>
      </c>
      <c r="L18" s="31">
        <v>29.666666030883789</v>
      </c>
      <c r="M18" s="31">
        <v>28.765956878662109</v>
      </c>
      <c r="N18" s="31">
        <v>27.5</v>
      </c>
      <c r="O18" s="29">
        <f t="shared" si="0"/>
        <v>6.1037284871620252E-2</v>
      </c>
      <c r="P18" s="29">
        <f t="shared" si="1"/>
        <v>2.9772871612365571E-2</v>
      </c>
    </row>
    <row r="19" spans="1:16" ht="18" customHeight="1" x14ac:dyDescent="0.2">
      <c r="A19" s="195"/>
      <c r="B19" s="37" t="s">
        <v>65</v>
      </c>
      <c r="C19" s="38"/>
      <c r="D19" s="38">
        <v>0.91189491748809814</v>
      </c>
      <c r="E19" s="38">
        <v>1.1506110429763794</v>
      </c>
      <c r="F19" s="38">
        <v>0.99230146408081055</v>
      </c>
      <c r="G19" s="38">
        <v>0.9363018274307251</v>
      </c>
      <c r="H19" s="38">
        <v>0.86002588272094727</v>
      </c>
      <c r="I19" s="38">
        <v>0.8950800895690918</v>
      </c>
      <c r="J19" s="38">
        <v>0.85540318489074707</v>
      </c>
      <c r="K19" s="38">
        <v>0.79234063625335693</v>
      </c>
      <c r="L19" s="38">
        <v>0.72629308700561523</v>
      </c>
      <c r="M19" s="38">
        <v>0.68517744541168213</v>
      </c>
      <c r="N19" s="38">
        <v>0.5884476900100708</v>
      </c>
      <c r="O19" s="29">
        <f t="shared" si="0"/>
        <v>-0.35469791669526318</v>
      </c>
      <c r="P19" s="29">
        <f t="shared" si="1"/>
        <v>-0.31208148344078479</v>
      </c>
    </row>
    <row r="20" spans="1:16" ht="18" customHeight="1" x14ac:dyDescent="0.2">
      <c r="A20" s="196"/>
      <c r="B20" s="39" t="s">
        <v>28</v>
      </c>
      <c r="C20" s="40"/>
      <c r="D20" s="40">
        <f ca="1">1790*OFFSET(D$112,MATCH($N$1,$C$112:$C$113,0)-1,0)</f>
        <v>1790</v>
      </c>
      <c r="E20" s="40">
        <f ca="1">1561*OFFSET(E$112,MATCH($N$1,$C$112:$C$113,0)-1,0)</f>
        <v>1561</v>
      </c>
      <c r="F20" s="40">
        <f ca="1">1678*OFFSET(F$112,MATCH($N$1,$C$112:$C$113,0)-1,0)</f>
        <v>1678</v>
      </c>
      <c r="G20" s="40">
        <f ca="1">1779*OFFSET(G$112,MATCH($N$1,$C$112:$C$113,0)-1,0)</f>
        <v>1779</v>
      </c>
      <c r="H20" s="40">
        <f ca="1">1851*OFFSET(H$112,MATCH($N$1,$C$112:$C$113,0)-1,0)</f>
        <v>1851</v>
      </c>
      <c r="I20" s="40">
        <f ca="1">1836*OFFSET(I$112,MATCH($N$1,$C$112:$C$113,0)-1,0)</f>
        <v>1836</v>
      </c>
      <c r="J20" s="40">
        <f ca="1">2149*OFFSET(J$112,MATCH($N$1,$C$112:$C$113,0)-1,0)</f>
        <v>2149</v>
      </c>
      <c r="K20" s="40">
        <f ca="1">1840*OFFSET(K$112,MATCH($N$1,$C$112:$C$113,0)-1,0)</f>
        <v>1840</v>
      </c>
      <c r="L20" s="40">
        <f ca="1">2067*OFFSET(L$112,MATCH($N$1,$C$112:$C$113,0)-1,0)</f>
        <v>2067</v>
      </c>
      <c r="M20" s="40">
        <f ca="1">1734*OFFSET(M$112,MATCH($N$1,$C$112:$C$113,0)-1,0)</f>
        <v>1734</v>
      </c>
      <c r="N20" s="40">
        <v>2386</v>
      </c>
      <c r="O20" s="34">
        <f t="shared" ca="1" si="0"/>
        <v>0.33296089385474859</v>
      </c>
      <c r="P20" s="34">
        <f t="shared" ca="1" si="1"/>
        <v>0.11028385295486273</v>
      </c>
    </row>
    <row r="21" spans="1:16" ht="18" customHeight="1" x14ac:dyDescent="0.2">
      <c r="A21" s="197" t="s">
        <v>29</v>
      </c>
      <c r="B21" s="35" t="s">
        <v>66</v>
      </c>
      <c r="C21" s="41"/>
      <c r="D21" s="41">
        <v>4.5121917453542446</v>
      </c>
      <c r="E21" s="41">
        <v>5.4069471207733537</v>
      </c>
      <c r="F21" s="41">
        <v>4.8627880970355344</v>
      </c>
      <c r="G21" s="41">
        <v>4.6352351020909133</v>
      </c>
      <c r="H21" s="41">
        <v>4.1739023554721326</v>
      </c>
      <c r="I21" s="41">
        <v>4.1467510436355912</v>
      </c>
      <c r="J21" s="41">
        <v>4.2156214249006103</v>
      </c>
      <c r="K21" s="41">
        <v>3.6837811926186395</v>
      </c>
      <c r="L21" s="41">
        <v>3.5522653556133599</v>
      </c>
      <c r="M21" s="41">
        <v>3.2917524396437527</v>
      </c>
      <c r="N21" s="41">
        <v>2.685222957052757</v>
      </c>
      <c r="O21" s="29">
        <f t="shared" si="0"/>
        <v>-0.4048960885100984</v>
      </c>
      <c r="P21" s="29">
        <f t="shared" si="1"/>
        <v>-0.36303033730879541</v>
      </c>
    </row>
    <row r="22" spans="1:16" ht="18" customHeight="1" x14ac:dyDescent="0.2">
      <c r="A22" s="197"/>
      <c r="B22" s="37" t="s">
        <v>67</v>
      </c>
      <c r="C22" s="38"/>
      <c r="D22" s="38">
        <f ca="1">8.07575706849017*OFFSET(D$112,MATCH($N$1,$C$112:$C$113,0)-1,0)</f>
        <v>8.0757570684901694</v>
      </c>
      <c r="E22" s="38">
        <f ca="1">8.4399566347937*OFFSET(E$112,MATCH($N$1,$C$112:$C$113,0)-1,0)</f>
        <v>8.4399566347937007</v>
      </c>
      <c r="F22" s="38">
        <f ca="1">8.15950665942619*OFFSET(F$112,MATCH($N$1,$C$112:$C$113,0)-1,0)</f>
        <v>8.1595066594261905</v>
      </c>
      <c r="G22" s="38">
        <f ca="1">8.24789522010282*OFFSET(G$112,MATCH($N$1,$C$112:$C$113,0)-1,0)</f>
        <v>8.2478952201028193</v>
      </c>
      <c r="H22" s="38">
        <f ca="1">7.72567156388471*OFFSET(H$112,MATCH($N$1,$C$112:$C$113,0)-1,0)</f>
        <v>7.7256715638847098</v>
      </c>
      <c r="I22" s="38">
        <f ca="1">7.61272196633709*OFFSET(I$112,MATCH($N$1,$C$112:$C$113,0)-1,0)</f>
        <v>7.61272196633709</v>
      </c>
      <c r="J22" s="38">
        <f ca="1">9.06014646801186*OFFSET(J$112,MATCH($N$1,$C$112:$C$113,0)-1,0)</f>
        <v>9.06014646801186</v>
      </c>
      <c r="K22" s="38">
        <f ca="1">6.77719025212434*OFFSET(K$112,MATCH($N$1,$C$112:$C$113,0)-1,0)</f>
        <v>6.7771902521243401</v>
      </c>
      <c r="L22" s="38">
        <f ca="1">7.34257677088103*OFFSET(L$112,MATCH($N$1,$C$112:$C$113,0)-1,0)</f>
        <v>7.3425767708810303</v>
      </c>
      <c r="M22" s="38">
        <f ca="1">5.70859541614896*OFFSET(M$112,MATCH($N$1,$C$112:$C$113,0)-1,0)</f>
        <v>5.7085954161489596</v>
      </c>
      <c r="N22" s="38">
        <v>6.4064639128954957</v>
      </c>
      <c r="O22" s="29">
        <f t="shared" ca="1" si="0"/>
        <v>-0.20670423112501601</v>
      </c>
      <c r="P22" s="29">
        <f t="shared" ca="1" si="1"/>
        <v>-0.2928962091822212</v>
      </c>
    </row>
    <row r="23" spans="1:16" ht="18" customHeight="1" x14ac:dyDescent="0.2">
      <c r="A23" s="197"/>
      <c r="B23" s="37" t="s">
        <v>11</v>
      </c>
      <c r="C23" s="38"/>
      <c r="D23" s="38">
        <f ca="1">7.76441049204529*OFFSET(D$112,MATCH($N$1,$C$112:$C$113,0)-1,0)</f>
        <v>7.7644104920452897</v>
      </c>
      <c r="E23" s="38">
        <f ca="1">7.17496382127103*OFFSET(E$112,MATCH($N$1,$C$112:$C$113,0)-1,0)</f>
        <v>7.1749638212710298</v>
      </c>
      <c r="F23" s="38">
        <f ca="1">6.88260782127983*OFFSET(F$112,MATCH($N$1,$C$112:$C$113,0)-1,0)</f>
        <v>6.8826078212798301</v>
      </c>
      <c r="G23" s="38">
        <f ca="1">6.36843574396915*OFFSET(G$112,MATCH($N$1,$C$112:$C$113,0)-1,0)</f>
        <v>6.3684357439691501</v>
      </c>
      <c r="H23" s="38">
        <f ca="1">6.22307842937659*OFFSET(H$112,MATCH($N$1,$C$112:$C$113,0)-1,0)</f>
        <v>6.2230784293765904</v>
      </c>
      <c r="I23" s="38">
        <f ca="1">5.22043018285118*OFFSET(I$112,MATCH($N$1,$C$112:$C$113,0)-1,0)</f>
        <v>5.2204301828511799</v>
      </c>
      <c r="J23" s="38">
        <f ca="1">6.49243191795102*OFFSET(J$112,MATCH($N$1,$C$112:$C$113,0)-1,0)</f>
        <v>6.4924319179510199</v>
      </c>
      <c r="K23" s="38">
        <f ca="1">5.60286173090919*OFFSET(K$112,MATCH($N$1,$C$112:$C$113,0)-1,0)</f>
        <v>5.6028617309091899</v>
      </c>
      <c r="L23" s="38">
        <f ca="1">6.03313190600677*OFFSET(L$112,MATCH($N$1,$C$112:$C$113,0)-1,0)</f>
        <v>6.0331319060067701</v>
      </c>
      <c r="M23" s="38">
        <f ca="1">5.2173286446012*OFFSET(M$112,MATCH($N$1,$C$112:$C$113,0)-1,0)</f>
        <v>5.2173286446012002</v>
      </c>
      <c r="N23" s="38">
        <v>5.4875384125793945</v>
      </c>
      <c r="O23" s="29">
        <f t="shared" ca="1" si="0"/>
        <v>-0.29324468120259378</v>
      </c>
      <c r="P23" s="29">
        <f t="shared" ca="1" si="1"/>
        <v>-0.15477921340895093</v>
      </c>
    </row>
    <row r="24" spans="1:16" ht="18" customHeight="1" x14ac:dyDescent="0.2">
      <c r="A24" s="197"/>
      <c r="B24" s="37" t="s">
        <v>12</v>
      </c>
      <c r="C24" s="38"/>
      <c r="D24" s="38">
        <f ca="1">0.311346576444877*OFFSET(D$112,MATCH($N$1,$C$112:$C$113,0)-1,0)</f>
        <v>0.31134657644487701</v>
      </c>
      <c r="E24" s="38">
        <f ca="1">1.65328841243796*OFFSET(E$112,MATCH($N$1,$C$112:$C$113,0)-1,0)</f>
        <v>1.6532884124379601</v>
      </c>
      <c r="F24" s="38">
        <f ca="1">1.37379834495631*OFFSET(F$112,MATCH($N$1,$C$112:$C$113,0)-1,0)</f>
        <v>1.37379834495631</v>
      </c>
      <c r="G24" s="38">
        <f ca="1">1.95813614158539*OFFSET(G$112,MATCH($N$1,$C$112:$C$113,0)-1,0)</f>
        <v>1.95813614158539</v>
      </c>
      <c r="H24" s="38">
        <f ca="1">1.72162275723872*OFFSET(H$112,MATCH($N$1,$C$112:$C$113,0)-1,0)</f>
        <v>1.7216227572387199</v>
      </c>
      <c r="I24" s="38">
        <f ca="1">2.51428631701101*OFFSET(I$112,MATCH($N$1,$C$112:$C$113,0)-1,0)</f>
        <v>2.5142863170110101</v>
      </c>
      <c r="J24" s="38">
        <f ca="1">2.76933379782685*OFFSET(J$112,MATCH($N$1,$C$112:$C$113,0)-1,0)</f>
        <v>2.76933379782685</v>
      </c>
      <c r="K24" s="38">
        <f ca="1">1.66655026496188*OFFSET(K$112,MATCH($N$1,$C$112:$C$113,0)-1,0)</f>
        <v>1.66655026496188</v>
      </c>
      <c r="L24" s="38">
        <f ca="1">1.75194571566976*OFFSET(L$112,MATCH($N$1,$C$112:$C$113,0)-1,0)</f>
        <v>1.75194571566976</v>
      </c>
      <c r="M24" s="38">
        <f ca="1">1.0532508746916*OFFSET(M$112,MATCH($N$1,$C$112:$C$113,0)-1,0)</f>
        <v>1.0532508746916001</v>
      </c>
      <c r="N24" s="38">
        <v>1.1326143063368479</v>
      </c>
      <c r="O24" s="29">
        <f t="shared" ca="1" si="0"/>
        <v>2.6377927108422012</v>
      </c>
      <c r="P24" s="29">
        <f t="shared" ca="1" si="1"/>
        <v>-0.59101560554901966</v>
      </c>
    </row>
    <row r="25" spans="1:16" ht="18" customHeight="1" x14ac:dyDescent="0.2">
      <c r="A25" s="197"/>
      <c r="B25" s="37" t="s">
        <v>68</v>
      </c>
      <c r="C25" s="33"/>
      <c r="D25" s="33">
        <f ca="1">71.57*OFFSET(D$112,MATCH($N$1,$C$112:$C$113,0)-1,0)</f>
        <v>71.569999999999993</v>
      </c>
      <c r="E25" s="33">
        <f ca="1">64.26*OFFSET(E$112,MATCH($N$1,$C$112:$C$113,0)-1,0)</f>
        <v>64.260000000000005</v>
      </c>
      <c r="F25" s="33">
        <f ca="1">83.84*OFFSET(F$112,MATCH($N$1,$C$112:$C$113,0)-1,0)</f>
        <v>83.84</v>
      </c>
      <c r="G25" s="33">
        <f ca="1">85.54*OFFSET(G$112,MATCH($N$1,$C$112:$C$113,0)-1,0)</f>
        <v>85.54</v>
      </c>
      <c r="H25" s="33">
        <f ca="1">92.21*OFFSET(H$112,MATCH($N$1,$C$112:$C$113,0)-1,0)</f>
        <v>92.21</v>
      </c>
      <c r="I25" s="33">
        <f ca="1">77.43*OFFSET(I$112,MATCH($N$1,$C$112:$C$113,0)-1,0)</f>
        <v>77.430000000000007</v>
      </c>
      <c r="J25" s="33">
        <f ca="1">93.32*OFFSET(J$112,MATCH($N$1,$C$112:$C$113,0)-1,0)</f>
        <v>93.32</v>
      </c>
      <c r="K25" s="33">
        <f ca="1">68.06*OFFSET(K$112,MATCH($N$1,$C$112:$C$113,0)-1,0)</f>
        <v>68.06</v>
      </c>
      <c r="L25" s="33">
        <f ca="1">83.52*OFFSET(L$112,MATCH($N$1,$C$112:$C$113,0)-1,0)</f>
        <v>83.52</v>
      </c>
      <c r="M25" s="33">
        <f ca="1">53.65*OFFSET(M$112,MATCH($N$1,$C$112:$C$113,0)-1,0)</f>
        <v>53.65</v>
      </c>
      <c r="N25" s="33">
        <v>62.72</v>
      </c>
      <c r="O25" s="29">
        <f t="shared" ca="1" si="0"/>
        <v>-0.12365516277770008</v>
      </c>
      <c r="P25" s="29">
        <f t="shared" ca="1" si="1"/>
        <v>-0.32790398628375478</v>
      </c>
    </row>
    <row r="26" spans="1:16" ht="18" customHeight="1" x14ac:dyDescent="0.2">
      <c r="A26" s="198"/>
      <c r="B26" s="37" t="s">
        <v>69</v>
      </c>
      <c r="C26" s="33"/>
      <c r="D26" s="33">
        <f ca="1">2.75*OFFSET(D$112,MATCH($N$1,$C$112:$C$113,0)-1,0)</f>
        <v>2.75</v>
      </c>
      <c r="E26" s="33">
        <f ca="1">12.59*OFFSET(E$112,MATCH($N$1,$C$112:$C$113,0)-1,0)</f>
        <v>12.59</v>
      </c>
      <c r="F26" s="33">
        <f ca="1">14.1*OFFSET(F$112,MATCH($N$1,$C$112:$C$113,0)-1,0)</f>
        <v>14.1</v>
      </c>
      <c r="G26" s="33">
        <f ca="1">20.31*OFFSET(G$112,MATCH($N$1,$C$112:$C$113,0)-1,0)</f>
        <v>20.309999999999999</v>
      </c>
      <c r="H26" s="33">
        <f ca="1">20.54*OFFSET(H$112,MATCH($N$1,$C$112:$C$113,0)-1,0)</f>
        <v>20.54</v>
      </c>
      <c r="I26" s="33">
        <f ca="1">25.58*OFFSET(I$112,MATCH($N$1,$C$112:$C$113,0)-1,0)</f>
        <v>25.58</v>
      </c>
      <c r="J26" s="33">
        <f ca="1">28.54*OFFSET(J$112,MATCH($N$1,$C$112:$C$113,0)-1,0)</f>
        <v>28.54</v>
      </c>
      <c r="K26" s="33">
        <f ca="1">16.72*OFFSET(K$112,MATCH($N$1,$C$112:$C$113,0)-1,0)</f>
        <v>16.72</v>
      </c>
      <c r="L26" s="33">
        <f ca="1">19.94*OFFSET(L$112,MATCH($N$1,$C$112:$C$113,0)-1,0)</f>
        <v>19.940000000000001</v>
      </c>
      <c r="M26" s="33">
        <f ca="1">9.91*OFFSET(M$112,MATCH($N$1,$C$112:$C$113,0)-1,0)</f>
        <v>9.91</v>
      </c>
      <c r="N26" s="33">
        <v>11.09</v>
      </c>
      <c r="O26" s="34">
        <f t="shared" ca="1" si="0"/>
        <v>3.0327272727272727</v>
      </c>
      <c r="P26" s="34">
        <f t="shared" ca="1" si="1"/>
        <v>-0.61142256482130342</v>
      </c>
    </row>
    <row r="27" spans="1:16" ht="18" customHeight="1" x14ac:dyDescent="0.2">
      <c r="A27" s="187" t="s">
        <v>30</v>
      </c>
      <c r="B27" s="35" t="s">
        <v>63</v>
      </c>
      <c r="C27" s="36"/>
      <c r="D27" s="36">
        <f ca="1">278*OFFSET(D$112,MATCH($N$1,$C$112:$C$113,0)-1,0)</f>
        <v>278</v>
      </c>
      <c r="E27" s="36">
        <f ca="1">294.4*OFFSET(E$112,MATCH($N$1,$C$112:$C$113,0)-1,0)</f>
        <v>294.39999999999998</v>
      </c>
      <c r="F27" s="36">
        <f ca="1">275.3*OFFSET(F$112,MATCH($N$1,$C$112:$C$113,0)-1,0)</f>
        <v>275.3</v>
      </c>
      <c r="G27" s="36">
        <f ca="1">272.1*OFFSET(G$112,MATCH($N$1,$C$112:$C$113,0)-1,0)</f>
        <v>272.10000000000002</v>
      </c>
      <c r="H27" s="36">
        <f ca="1">237.9*OFFSET(H$112,MATCH($N$1,$C$112:$C$113,0)-1,0)</f>
        <v>237.9</v>
      </c>
      <c r="I27" s="36">
        <f ca="1">279.1*OFFSET(I$112,MATCH($N$1,$C$112:$C$113,0)-1,0)</f>
        <v>279.10000000000002</v>
      </c>
      <c r="J27" s="36">
        <f ca="1">296.9*OFFSET(J$112,MATCH($N$1,$C$112:$C$113,0)-1,0)</f>
        <v>296.89999999999998</v>
      </c>
      <c r="K27" s="36">
        <f ca="1">211.7*OFFSET(K$112,MATCH($N$1,$C$112:$C$113,0)-1,0)</f>
        <v>211.7</v>
      </c>
      <c r="L27" s="36">
        <f ca="1">224.5*OFFSET(L$112,MATCH($N$1,$C$112:$C$113,0)-1,0)</f>
        <v>224.5</v>
      </c>
      <c r="M27" s="36">
        <f ca="1">151.1*OFFSET(M$112,MATCH($N$1,$C$112:$C$113,0)-1,0)</f>
        <v>151.1</v>
      </c>
      <c r="N27" s="36">
        <v>202.5</v>
      </c>
      <c r="O27" s="29">
        <f t="shared" ca="1" si="0"/>
        <v>-0.27158273381294962</v>
      </c>
      <c r="P27" s="29">
        <f t="shared" ca="1" si="1"/>
        <v>-0.31795217244863583</v>
      </c>
    </row>
    <row r="28" spans="1:16" ht="18" customHeight="1" x14ac:dyDescent="0.2">
      <c r="A28" s="199"/>
      <c r="B28" s="37" t="s">
        <v>70</v>
      </c>
      <c r="C28" s="33"/>
      <c r="D28" s="33"/>
      <c r="E28" s="33">
        <f ca="1">13.5*OFFSET(E$112,MATCH($N$1,$C$112:$C$113,0)-1,0)</f>
        <v>13.5</v>
      </c>
      <c r="F28" s="33">
        <f ca="1">3.3*OFFSET(F$112,MATCH($N$1,$C$112:$C$113,0)-1,0)</f>
        <v>3.3</v>
      </c>
      <c r="G28" s="33">
        <f ca="1">2.6*OFFSET(G$112,MATCH($N$1,$C$112:$C$113,0)-1,0)</f>
        <v>2.6</v>
      </c>
      <c r="H28" s="33">
        <f ca="1">6.7*OFFSET(H$112,MATCH($N$1,$C$112:$C$113,0)-1,0)</f>
        <v>6.7</v>
      </c>
      <c r="I28" s="33">
        <f ca="1">4.5*OFFSET(I$112,MATCH($N$1,$C$112:$C$113,0)-1,0)</f>
        <v>4.5</v>
      </c>
      <c r="J28" s="33">
        <f ca="1">6.6*OFFSET(J$112,MATCH($N$1,$C$112:$C$113,0)-1,0)</f>
        <v>6.6</v>
      </c>
      <c r="K28" s="33">
        <f ca="1">15.4*OFFSET(K$112,MATCH($N$1,$C$112:$C$113,0)-1,0)</f>
        <v>15.4</v>
      </c>
      <c r="L28" s="33">
        <f ca="1">13.5*OFFSET(L$112,MATCH($N$1,$C$112:$C$113,0)-1,0)</f>
        <v>13.5</v>
      </c>
      <c r="M28" s="33">
        <f ca="1">14.9*OFFSET(M$112,MATCH($N$1,$C$112:$C$113,0)-1,0)</f>
        <v>14.9</v>
      </c>
      <c r="N28" s="33">
        <v>6.8</v>
      </c>
      <c r="O28" s="29" t="str">
        <f t="shared" si="0"/>
        <v/>
      </c>
      <c r="P28" s="29">
        <f t="shared" ca="1" si="1"/>
        <v>3.0303030303030332E-2</v>
      </c>
    </row>
    <row r="29" spans="1:16" ht="18" customHeight="1" x14ac:dyDescent="0.2">
      <c r="A29" s="199"/>
      <c r="B29" s="42" t="s">
        <v>71</v>
      </c>
      <c r="C29" s="43"/>
      <c r="D29" s="43">
        <f ca="1">278*OFFSET(D$112,MATCH($N$1,$C$112:$C$113,0)-1,0)</f>
        <v>278</v>
      </c>
      <c r="E29" s="43">
        <f ca="1">308*OFFSET(E$112,MATCH($N$1,$C$112:$C$113,0)-1,0)</f>
        <v>308</v>
      </c>
      <c r="F29" s="43">
        <f ca="1">278.5*OFFSET(F$112,MATCH($N$1,$C$112:$C$113,0)-1,0)</f>
        <v>278.5</v>
      </c>
      <c r="G29" s="43">
        <f ca="1">274.7*OFFSET(G$112,MATCH($N$1,$C$112:$C$113,0)-1,0)</f>
        <v>274.7</v>
      </c>
      <c r="H29" s="43">
        <f ca="1">244.7*OFFSET(H$112,MATCH($N$1,$C$112:$C$113,0)-1,0)</f>
        <v>244.7</v>
      </c>
      <c r="I29" s="43">
        <f ca="1">283.6*OFFSET(I$112,MATCH($N$1,$C$112:$C$113,0)-1,0)</f>
        <v>283.60000000000002</v>
      </c>
      <c r="J29" s="43">
        <f ca="1">303.6*OFFSET(J$112,MATCH($N$1,$C$112:$C$113,0)-1,0)</f>
        <v>303.60000000000002</v>
      </c>
      <c r="K29" s="43">
        <f ca="1">227*OFFSET(K$112,MATCH($N$1,$C$112:$C$113,0)-1,0)</f>
        <v>227</v>
      </c>
      <c r="L29" s="43">
        <f ca="1">238.1*OFFSET(L$112,MATCH($N$1,$C$112:$C$113,0)-1,0)</f>
        <v>238.1</v>
      </c>
      <c r="M29" s="43">
        <f ca="1">166*OFFSET(M$112,MATCH($N$1,$C$112:$C$113,0)-1,0)</f>
        <v>166</v>
      </c>
      <c r="N29" s="43">
        <v>209.20000000000002</v>
      </c>
      <c r="O29" s="29">
        <f t="shared" ca="1" si="0"/>
        <v>-0.24748201438848916</v>
      </c>
      <c r="P29" s="29">
        <f t="shared" ca="1" si="1"/>
        <v>-0.310935441370224</v>
      </c>
    </row>
    <row r="30" spans="1:16" ht="18" customHeight="1" x14ac:dyDescent="0.2">
      <c r="A30" s="199"/>
      <c r="B30" s="37" t="s">
        <v>72</v>
      </c>
      <c r="C30" s="33"/>
      <c r="D30" s="33">
        <f ca="1">50.7*OFFSET(D$112,MATCH($N$1,$C$112:$C$113,0)-1,0)</f>
        <v>50.7</v>
      </c>
      <c r="E30" s="33">
        <f ca="1">50.1*OFFSET(E$112,MATCH($N$1,$C$112:$C$113,0)-1,0)</f>
        <v>50.1</v>
      </c>
      <c r="F30" s="33">
        <f ca="1">48.3*OFFSET(F$112,MATCH($N$1,$C$112:$C$113,0)-1,0)</f>
        <v>48.3</v>
      </c>
      <c r="G30" s="33">
        <f ca="1">42.7*OFFSET(G$112,MATCH($N$1,$C$112:$C$113,0)-1,0)</f>
        <v>42.7</v>
      </c>
      <c r="H30" s="33">
        <f ca="1">27.5*OFFSET(H$112,MATCH($N$1,$C$112:$C$113,0)-1,0)</f>
        <v>27.5</v>
      </c>
      <c r="I30" s="33">
        <f ca="1">29*OFFSET(I$112,MATCH($N$1,$C$112:$C$113,0)-1,0)</f>
        <v>29</v>
      </c>
      <c r="J30" s="33">
        <f ca="1">33.4*OFFSET(J$112,MATCH($N$1,$C$112:$C$113,0)-1,0)</f>
        <v>33.4</v>
      </c>
      <c r="K30" s="33">
        <f ca="1">35.6*OFFSET(K$112,MATCH($N$1,$C$112:$C$113,0)-1,0)</f>
        <v>35.6</v>
      </c>
      <c r="L30" s="33">
        <f ca="1">35*OFFSET(L$112,MATCH($N$1,$C$112:$C$113,0)-1,0)</f>
        <v>35</v>
      </c>
      <c r="M30" s="33">
        <f ca="1">21.3*OFFSET(M$112,MATCH($N$1,$C$112:$C$113,0)-1,0)</f>
        <v>21.3</v>
      </c>
      <c r="N30" s="33">
        <v>29.400000000000002</v>
      </c>
      <c r="O30" s="29">
        <f t="shared" ca="1" si="0"/>
        <v>-0.42011834319526625</v>
      </c>
      <c r="P30" s="29">
        <f t="shared" ca="1" si="1"/>
        <v>-0.11976047904191607</v>
      </c>
    </row>
    <row r="31" spans="1:16" ht="18" customHeight="1" x14ac:dyDescent="0.2">
      <c r="A31" s="199"/>
      <c r="B31" s="37" t="s">
        <v>73</v>
      </c>
      <c r="C31" s="33"/>
      <c r="D31" s="33">
        <f ca="1">83.9*OFFSET(D$112,MATCH($N$1,$C$112:$C$113,0)-1,0)</f>
        <v>83.9</v>
      </c>
      <c r="E31" s="33">
        <f ca="1">74.7*OFFSET(E$112,MATCH($N$1,$C$112:$C$113,0)-1,0)</f>
        <v>74.7</v>
      </c>
      <c r="F31" s="33">
        <f ca="1">67.7*OFFSET(F$112,MATCH($N$1,$C$112:$C$113,0)-1,0)</f>
        <v>67.7</v>
      </c>
      <c r="G31" s="33">
        <f ca="1">54.8*OFFSET(G$112,MATCH($N$1,$C$112:$C$113,0)-1,0)</f>
        <v>54.8</v>
      </c>
      <c r="H31" s="33">
        <f ca="1">53.1*OFFSET(H$112,MATCH($N$1,$C$112:$C$113,0)-1,0)</f>
        <v>53.1</v>
      </c>
      <c r="I31" s="33">
        <f ca="1">58.2*OFFSET(I$112,MATCH($N$1,$C$112:$C$113,0)-1,0)</f>
        <v>58.2</v>
      </c>
      <c r="J31" s="33">
        <f ca="1">66.9*OFFSET(J$112,MATCH($N$1,$C$112:$C$113,0)-1,0)</f>
        <v>66.900000000000006</v>
      </c>
      <c r="K31" s="33">
        <f ca="1">57.7*OFFSET(K$112,MATCH($N$1,$C$112:$C$113,0)-1,0)</f>
        <v>57.7</v>
      </c>
      <c r="L31" s="33">
        <f ca="1">50.2*OFFSET(L$112,MATCH($N$1,$C$112:$C$113,0)-1,0)</f>
        <v>50.2</v>
      </c>
      <c r="M31" s="33">
        <f ca="1">37.4*OFFSET(M$112,MATCH($N$1,$C$112:$C$113,0)-1,0)</f>
        <v>37.4</v>
      </c>
      <c r="N31" s="33">
        <v>49.9</v>
      </c>
      <c r="O31" s="29">
        <f t="shared" ca="1" si="0"/>
        <v>-0.40524433849821223</v>
      </c>
      <c r="P31" s="29">
        <f t="shared" ca="1" si="1"/>
        <v>-0.25411061285500758</v>
      </c>
    </row>
    <row r="32" spans="1:16" ht="18" customHeight="1" x14ac:dyDescent="0.2">
      <c r="A32" s="199"/>
      <c r="B32" s="37" t="s">
        <v>74</v>
      </c>
      <c r="C32" s="33"/>
      <c r="D32" s="33">
        <f ca="1">92*OFFSET(D$112,MATCH($N$1,$C$112:$C$113,0)-1,0)</f>
        <v>92</v>
      </c>
      <c r="E32" s="33">
        <f ca="1">53.7*OFFSET(E$112,MATCH($N$1,$C$112:$C$113,0)-1,0)</f>
        <v>53.7</v>
      </c>
      <c r="F32" s="33">
        <f ca="1">73*OFFSET(F$112,MATCH($N$1,$C$112:$C$113,0)-1,0)</f>
        <v>73</v>
      </c>
      <c r="G32" s="33">
        <f ca="1">75*OFFSET(G$112,MATCH($N$1,$C$112:$C$113,0)-1,0)</f>
        <v>75</v>
      </c>
      <c r="H32" s="33">
        <f ca="1">49.7*OFFSET(H$112,MATCH($N$1,$C$112:$C$113,0)-1,0)</f>
        <v>49.7</v>
      </c>
      <c r="I32" s="33">
        <f ca="1">58.9*OFFSET(I$112,MATCH($N$1,$C$112:$C$113,0)-1,0)</f>
        <v>58.9</v>
      </c>
      <c r="J32" s="33">
        <f ca="1">36.8*OFFSET(J$112,MATCH($N$1,$C$112:$C$113,0)-1,0)</f>
        <v>36.799999999999997</v>
      </c>
      <c r="K32" s="33">
        <f ca="1">28.7*OFFSET(K$112,MATCH($N$1,$C$112:$C$113,0)-1,0)</f>
        <v>28.7</v>
      </c>
      <c r="L32" s="33">
        <f ca="1">26.9*OFFSET(L$112,MATCH($N$1,$C$112:$C$113,0)-1,0)</f>
        <v>26.9</v>
      </c>
      <c r="M32" s="33">
        <f ca="1">23.6*OFFSET(M$112,MATCH($N$1,$C$112:$C$113,0)-1,0)</f>
        <v>23.6</v>
      </c>
      <c r="N32" s="33">
        <v>31.6</v>
      </c>
      <c r="O32" s="29">
        <f t="shared" ca="1" si="0"/>
        <v>-0.65652173913043477</v>
      </c>
      <c r="P32" s="29">
        <f t="shared" ca="1" si="1"/>
        <v>-0.14130434782608686</v>
      </c>
    </row>
    <row r="33" spans="1:16" ht="18" customHeight="1" x14ac:dyDescent="0.2">
      <c r="A33" s="199"/>
      <c r="B33" s="37" t="s">
        <v>75</v>
      </c>
      <c r="C33" s="33"/>
      <c r="D33" s="33">
        <f ca="1">226.6*OFFSET(D$112,MATCH($N$1,$C$112:$C$113,0)-1,0)</f>
        <v>226.6</v>
      </c>
      <c r="E33" s="33">
        <f ca="1">178.5*OFFSET(E$112,MATCH($N$1,$C$112:$C$113,0)-1,0)</f>
        <v>178.5</v>
      </c>
      <c r="F33" s="33">
        <f ca="1">189.1*OFFSET(F$112,MATCH($N$1,$C$112:$C$113,0)-1,0)</f>
        <v>189.1</v>
      </c>
      <c r="G33" s="33">
        <f ca="1">172.5*OFFSET(G$112,MATCH($N$1,$C$112:$C$113,0)-1,0)</f>
        <v>172.5</v>
      </c>
      <c r="H33" s="33">
        <f ca="1">130.3*OFFSET(H$112,MATCH($N$1,$C$112:$C$113,0)-1,0)</f>
        <v>130.30000000000001</v>
      </c>
      <c r="I33" s="33">
        <f ca="1">146*OFFSET(I$112,MATCH($N$1,$C$112:$C$113,0)-1,0)</f>
        <v>146</v>
      </c>
      <c r="J33" s="33">
        <f ca="1">137*OFFSET(J$112,MATCH($N$1,$C$112:$C$113,0)-1,0)</f>
        <v>137</v>
      </c>
      <c r="K33" s="33">
        <f ca="1">122*OFFSET(K$112,MATCH($N$1,$C$112:$C$113,0)-1,0)</f>
        <v>122</v>
      </c>
      <c r="L33" s="33">
        <f ca="1">112.1*OFFSET(L$112,MATCH($N$1,$C$112:$C$113,0)-1,0)</f>
        <v>112.1</v>
      </c>
      <c r="M33" s="33">
        <f ca="1">82.3*OFFSET(M$112,MATCH($N$1,$C$112:$C$113,0)-1,0)</f>
        <v>82.3</v>
      </c>
      <c r="N33" s="33">
        <v>110.9</v>
      </c>
      <c r="O33" s="29">
        <f t="shared" ca="1" si="0"/>
        <v>-0.51059135039717563</v>
      </c>
      <c r="P33" s="29">
        <f t="shared" ca="1" si="1"/>
        <v>-0.19051094890510945</v>
      </c>
    </row>
    <row r="34" spans="1:16" ht="18" customHeight="1" x14ac:dyDescent="0.2">
      <c r="A34" s="199"/>
      <c r="B34" s="37" t="s">
        <v>76</v>
      </c>
      <c r="C34" s="33"/>
      <c r="D34" s="33">
        <f ca="1">40.7*OFFSET(D$112,MATCH($N$1,$C$112:$C$113,0)-1,0)</f>
        <v>40.700000000000003</v>
      </c>
      <c r="E34" s="33">
        <f ca="1">71.8*OFFSET(E$112,MATCH($N$1,$C$112:$C$113,0)-1,0)</f>
        <v>71.8</v>
      </c>
      <c r="F34" s="33">
        <f ca="1">43.1*OFFSET(F$112,MATCH($N$1,$C$112:$C$113,0)-1,0)</f>
        <v>43.1</v>
      </c>
      <c r="G34" s="33">
        <f ca="1">37.6*OFFSET(G$112,MATCH($N$1,$C$112:$C$113,0)-1,0)</f>
        <v>37.6</v>
      </c>
      <c r="H34" s="33">
        <f ca="1">61.3*OFFSET(H$112,MATCH($N$1,$C$112:$C$113,0)-1,0)</f>
        <v>61.3</v>
      </c>
      <c r="I34" s="33">
        <f ca="1">45.4*OFFSET(I$112,MATCH($N$1,$C$112:$C$113,0)-1,0)</f>
        <v>45.4</v>
      </c>
      <c r="J34" s="33">
        <f ca="1">75.8*OFFSET(J$112,MATCH($N$1,$C$112:$C$113,0)-1,0)</f>
        <v>75.8</v>
      </c>
      <c r="K34" s="33">
        <f ca="1">53*OFFSET(K$112,MATCH($N$1,$C$112:$C$113,0)-1,0)</f>
        <v>53</v>
      </c>
      <c r="L34" s="33">
        <f ca="1">72.4*OFFSET(L$112,MATCH($N$1,$C$112:$C$113,0)-1,0)</f>
        <v>72.400000000000006</v>
      </c>
      <c r="M34" s="33">
        <f ca="1">55.8*OFFSET(M$112,MATCH($N$1,$C$112:$C$113,0)-1,0)</f>
        <v>55.8</v>
      </c>
      <c r="N34" s="33">
        <v>62.6</v>
      </c>
      <c r="O34" s="29">
        <f t="shared" ca="1" si="0"/>
        <v>0.53808353808353804</v>
      </c>
      <c r="P34" s="29">
        <f t="shared" ca="1" si="1"/>
        <v>-0.17414248021108175</v>
      </c>
    </row>
    <row r="35" spans="1:16" ht="18" customHeight="1" x14ac:dyDescent="0.2">
      <c r="A35" s="199"/>
      <c r="B35" s="37" t="s">
        <v>77</v>
      </c>
      <c r="C35" s="33"/>
      <c r="D35" s="33">
        <f ca="1">267.2*OFFSET(D$112,MATCH($N$1,$C$112:$C$113,0)-1,0)</f>
        <v>267.2</v>
      </c>
      <c r="E35" s="33">
        <f ca="1">250.3*OFFSET(E$112,MATCH($N$1,$C$112:$C$113,0)-1,0)</f>
        <v>250.3</v>
      </c>
      <c r="F35" s="33">
        <f ca="1">232.2*OFFSET(F$112,MATCH($N$1,$C$112:$C$113,0)-1,0)</f>
        <v>232.2</v>
      </c>
      <c r="G35" s="33">
        <f ca="1">210.1*OFFSET(G$112,MATCH($N$1,$C$112:$C$113,0)-1,0)</f>
        <v>210.1</v>
      </c>
      <c r="H35" s="33">
        <f ca="1">191.6*OFFSET(H$112,MATCH($N$1,$C$112:$C$113,0)-1,0)</f>
        <v>191.6</v>
      </c>
      <c r="I35" s="33">
        <f ca="1">191.4*OFFSET(I$112,MATCH($N$1,$C$112:$C$113,0)-1,0)</f>
        <v>191.4</v>
      </c>
      <c r="J35" s="33">
        <f ca="1">212.8*OFFSET(J$112,MATCH($N$1,$C$112:$C$113,0)-1,0)</f>
        <v>212.8</v>
      </c>
      <c r="K35" s="33">
        <f ca="1">175*OFFSET(K$112,MATCH($N$1,$C$112:$C$113,0)-1,0)</f>
        <v>175</v>
      </c>
      <c r="L35" s="33">
        <f ca="1">184.5*OFFSET(L$112,MATCH($N$1,$C$112:$C$113,0)-1,0)</f>
        <v>184.5</v>
      </c>
      <c r="M35" s="33">
        <f ca="1">138.1*OFFSET(M$112,MATCH($N$1,$C$112:$C$113,0)-1,0)</f>
        <v>138.1</v>
      </c>
      <c r="N35" s="33">
        <v>173.4</v>
      </c>
      <c r="O35" s="29">
        <f t="shared" ca="1" si="0"/>
        <v>-0.35104790419161674</v>
      </c>
      <c r="P35" s="29">
        <f t="shared" ca="1" si="1"/>
        <v>-0.18515037593984965</v>
      </c>
    </row>
    <row r="36" spans="1:16" ht="18" customHeight="1" x14ac:dyDescent="0.2">
      <c r="A36" s="199"/>
      <c r="B36" s="42" t="s">
        <v>78</v>
      </c>
      <c r="C36" s="43"/>
      <c r="D36" s="43">
        <f ca="1">94.6*OFFSET(D$112,MATCH($N$1,$C$112:$C$113,0)-1,0)</f>
        <v>94.6</v>
      </c>
      <c r="E36" s="43">
        <f ca="1">132.4*OFFSET(E$112,MATCH($N$1,$C$112:$C$113,0)-1,0)</f>
        <v>132.4</v>
      </c>
      <c r="F36" s="43">
        <f ca="1">114*OFFSET(F$112,MATCH($N$1,$C$112:$C$113,0)-1,0)</f>
        <v>114</v>
      </c>
      <c r="G36" s="43">
        <f ca="1">119.4*OFFSET(G$112,MATCH($N$1,$C$112:$C$113,0)-1,0)</f>
        <v>119.4</v>
      </c>
      <c r="H36" s="43">
        <f ca="1">106.1*OFFSET(H$112,MATCH($N$1,$C$112:$C$113,0)-1,0)</f>
        <v>106.1</v>
      </c>
      <c r="I36" s="43">
        <f ca="1">150.4*OFFSET(I$112,MATCH($N$1,$C$112:$C$113,0)-1,0)</f>
        <v>150.4</v>
      </c>
      <c r="J36" s="43">
        <f ca="1">157.7*OFFSET(J$112,MATCH($N$1,$C$112:$C$113,0)-1,0)</f>
        <v>157.69999999999999</v>
      </c>
      <c r="K36" s="43">
        <f ca="1">109.7*OFFSET(K$112,MATCH($N$1,$C$112:$C$113,0)-1,0)</f>
        <v>109.7</v>
      </c>
      <c r="L36" s="43">
        <f ca="1">103.8*OFFSET(L$112,MATCH($N$1,$C$112:$C$113,0)-1,0)</f>
        <v>103.8</v>
      </c>
      <c r="M36" s="43">
        <f ca="1">65.3*OFFSET(M$112,MATCH($N$1,$C$112:$C$113,0)-1,0)</f>
        <v>65.3</v>
      </c>
      <c r="N36" s="43">
        <v>85.7</v>
      </c>
      <c r="O36" s="29">
        <f t="shared" ca="1" si="0"/>
        <v>-9.4080338266384692E-2</v>
      </c>
      <c r="P36" s="29">
        <f t="shared" ca="1" si="1"/>
        <v>-0.45656309448319587</v>
      </c>
    </row>
    <row r="37" spans="1:16" ht="18" customHeight="1" x14ac:dyDescent="0.2">
      <c r="A37" s="199"/>
      <c r="B37" s="42" t="s">
        <v>79</v>
      </c>
      <c r="C37" s="43"/>
      <c r="D37" s="43">
        <f ca="1">10.7*OFFSET(D$112,MATCH($N$1,$C$112:$C$113,0)-1,0)</f>
        <v>10.7</v>
      </c>
      <c r="E37" s="43">
        <f ca="1">57.7*OFFSET(E$112,MATCH($N$1,$C$112:$C$113,0)-1,0)</f>
        <v>57.7</v>
      </c>
      <c r="F37" s="43">
        <f ca="1">46.3*OFFSET(F$112,MATCH($N$1,$C$112:$C$113,0)-1,0)</f>
        <v>46.3</v>
      </c>
      <c r="G37" s="43">
        <f ca="1">64.6*OFFSET(G$112,MATCH($N$1,$C$112:$C$113,0)-1,0)</f>
        <v>64.599999999999994</v>
      </c>
      <c r="H37" s="43">
        <f ca="1">53*OFFSET(H$112,MATCH($N$1,$C$112:$C$113,0)-1,0)</f>
        <v>53</v>
      </c>
      <c r="I37" s="43">
        <f ca="1">92.2*OFFSET(I$112,MATCH($N$1,$C$112:$C$113,0)-1,0)</f>
        <v>92.2</v>
      </c>
      <c r="J37" s="43">
        <f ca="1">90.8*OFFSET(J$112,MATCH($N$1,$C$112:$C$113,0)-1,0)</f>
        <v>90.8</v>
      </c>
      <c r="K37" s="43">
        <f ca="1">52*OFFSET(K$112,MATCH($N$1,$C$112:$C$113,0)-1,0)</f>
        <v>52</v>
      </c>
      <c r="L37" s="43">
        <f ca="1">53.6*OFFSET(L$112,MATCH($N$1,$C$112:$C$113,0)-1,0)</f>
        <v>53.6</v>
      </c>
      <c r="M37" s="43">
        <f ca="1">27.9*OFFSET(M$112,MATCH($N$1,$C$112:$C$113,0)-1,0)</f>
        <v>27.9</v>
      </c>
      <c r="N37" s="43">
        <v>35.800000000000004</v>
      </c>
      <c r="O37" s="29">
        <f t="shared" ca="1" si="0"/>
        <v>2.3457943925233651</v>
      </c>
      <c r="P37" s="29">
        <f t="shared" ca="1" si="1"/>
        <v>-0.60572687224669597</v>
      </c>
    </row>
    <row r="38" spans="1:16" ht="18" customHeight="1" x14ac:dyDescent="0.2">
      <c r="A38" s="199"/>
      <c r="B38" s="37" t="s">
        <v>80</v>
      </c>
      <c r="C38" s="33"/>
      <c r="D38" s="33">
        <f ca="1">5.1*OFFSET(D$112,MATCH($N$1,$C$112:$C$113,0)-1,0)</f>
        <v>5.0999999999999996</v>
      </c>
      <c r="E38" s="33">
        <f ca="1">11.8*OFFSET(E$112,MATCH($N$1,$C$112:$C$113,0)-1,0)</f>
        <v>11.8</v>
      </c>
      <c r="F38" s="33">
        <f ca="1">11.4*OFFSET(F$112,MATCH($N$1,$C$112:$C$113,0)-1,0)</f>
        <v>11.4</v>
      </c>
      <c r="G38" s="33">
        <f ca="1">9.1*OFFSET(G$112,MATCH($N$1,$C$112:$C$113,0)-1,0)</f>
        <v>9.1</v>
      </c>
      <c r="H38" s="33">
        <f ca="1">9.7*OFFSET(H$112,MATCH($N$1,$C$112:$C$113,0)-1,0)</f>
        <v>9.6999999999999993</v>
      </c>
      <c r="I38" s="33">
        <f ca="1">13*OFFSET(I$112,MATCH($N$1,$C$112:$C$113,0)-1,0)</f>
        <v>13</v>
      </c>
      <c r="J38" s="33">
        <f ca="1">14.8*OFFSET(J$112,MATCH($N$1,$C$112:$C$113,0)-1,0)</f>
        <v>14.8</v>
      </c>
      <c r="K38" s="33">
        <f ca="1">3.8*OFFSET(K$112,MATCH($N$1,$C$112:$C$113,0)-1,0)</f>
        <v>3.8</v>
      </c>
      <c r="L38" s="33">
        <f ca="1">4.5*OFFSET(L$112,MATCH($N$1,$C$112:$C$113,0)-1,0)</f>
        <v>4.5</v>
      </c>
      <c r="M38" s="33">
        <f ca="1">2.1*OFFSET(M$112,MATCH($N$1,$C$112:$C$113,0)-1,0)</f>
        <v>2.1</v>
      </c>
      <c r="N38" s="33"/>
      <c r="O38" s="29" t="str">
        <f t="shared" si="0"/>
        <v/>
      </c>
      <c r="P38" s="29" t="str">
        <f t="shared" si="1"/>
        <v/>
      </c>
    </row>
    <row r="39" spans="1:16" ht="18" customHeight="1" x14ac:dyDescent="0.2">
      <c r="A39" s="199"/>
      <c r="B39" s="37" t="s">
        <v>81</v>
      </c>
      <c r="C39" s="33"/>
      <c r="D39" s="33">
        <f ca="1">1.1*OFFSET(D$112,MATCH($N$1,$C$112:$C$113,0)-1,0)</f>
        <v>1.1000000000000001</v>
      </c>
      <c r="E39" s="33">
        <f ca="1">3.9*OFFSET(E$112,MATCH($N$1,$C$112:$C$113,0)-1,0)</f>
        <v>3.9</v>
      </c>
      <c r="F39" s="33">
        <f ca="1">1.2*OFFSET(F$112,MATCH($N$1,$C$112:$C$113,0)-1,0)</f>
        <v>1.2</v>
      </c>
      <c r="G39" s="33">
        <f ca="1">2.3*OFFSET(G$112,MATCH($N$1,$C$112:$C$113,0)-1,0)</f>
        <v>2.2999999999999998</v>
      </c>
      <c r="H39" s="33">
        <f ca="1">1.2*OFFSET(H$112,MATCH($N$1,$C$112:$C$113,0)-1,0)</f>
        <v>1.2</v>
      </c>
      <c r="I39" s="33">
        <f ca="1">2.7*OFFSET(I$112,MATCH($N$1,$C$112:$C$113,0)-1,0)</f>
        <v>2.7</v>
      </c>
      <c r="J39" s="33">
        <f ca="1">2.5*OFFSET(J$112,MATCH($N$1,$C$112:$C$113,0)-1,0)</f>
        <v>2.5</v>
      </c>
      <c r="K39" s="33">
        <f ca="1">1.7*OFFSET(K$112,MATCH($N$1,$C$112:$C$113,0)-1,0)</f>
        <v>1.7</v>
      </c>
      <c r="L39" s="33">
        <f ca="1">1.8*OFFSET(L$112,MATCH($N$1,$C$112:$C$113,0)-1,0)</f>
        <v>1.8</v>
      </c>
      <c r="M39" s="33">
        <f ca="1">1.4*OFFSET(M$112,MATCH($N$1,$C$112:$C$113,0)-1,0)</f>
        <v>1.4</v>
      </c>
      <c r="N39" s="33"/>
      <c r="O39" s="29" t="str">
        <f t="shared" si="0"/>
        <v/>
      </c>
      <c r="P39" s="29" t="str">
        <f t="shared" si="1"/>
        <v/>
      </c>
    </row>
    <row r="40" spans="1:16" ht="18" customHeight="1" x14ac:dyDescent="0.2">
      <c r="A40" s="199"/>
      <c r="B40" s="37" t="s">
        <v>82</v>
      </c>
      <c r="C40" s="33"/>
      <c r="D40" s="33">
        <f ca="1">0.8*OFFSET(D$112,MATCH($N$1,$C$112:$C$113,0)-1,0)</f>
        <v>0.8</v>
      </c>
      <c r="E40" s="33">
        <f ca="1">1*OFFSET(E$112,MATCH($N$1,$C$112:$C$113,0)-1,0)</f>
        <v>1</v>
      </c>
      <c r="F40" s="33">
        <f ca="1">0.6*OFFSET(F$112,MATCH($N$1,$C$112:$C$113,0)-1,0)</f>
        <v>0.6</v>
      </c>
      <c r="G40" s="33">
        <f ca="1">0.7*OFFSET(G$112,MATCH($N$1,$C$112:$C$113,0)-1,0)</f>
        <v>0.7</v>
      </c>
      <c r="H40" s="33">
        <f ca="1">0.8*OFFSET(H$112,MATCH($N$1,$C$112:$C$113,0)-1,0)</f>
        <v>0.8</v>
      </c>
      <c r="I40" s="33">
        <f ca="1">0.7*OFFSET(I$112,MATCH($N$1,$C$112:$C$113,0)-1,0)</f>
        <v>0.7</v>
      </c>
      <c r="J40" s="33">
        <f ca="1">1.5*OFFSET(J$112,MATCH($N$1,$C$112:$C$113,0)-1,0)</f>
        <v>1.5</v>
      </c>
      <c r="K40" s="33">
        <f ca="1">0.1*OFFSET(K$112,MATCH($N$1,$C$112:$C$113,0)-1,0)</f>
        <v>0.1</v>
      </c>
      <c r="L40" s="33">
        <f ca="1">0.5*OFFSET(L$112,MATCH($N$1,$C$112:$C$113,0)-1,0)</f>
        <v>0.5</v>
      </c>
      <c r="M40" s="33">
        <f ca="1">0.2*OFFSET(M$112,MATCH($N$1,$C$112:$C$113,0)-1,0)</f>
        <v>0.2</v>
      </c>
      <c r="N40" s="33"/>
      <c r="O40" s="29" t="str">
        <f t="shared" si="0"/>
        <v/>
      </c>
      <c r="P40" s="29" t="str">
        <f t="shared" si="1"/>
        <v/>
      </c>
    </row>
    <row r="41" spans="1:16" ht="18" customHeight="1" thickBot="1" x14ac:dyDescent="0.25">
      <c r="A41" s="200"/>
      <c r="B41" s="44" t="s">
        <v>83</v>
      </c>
      <c r="C41" s="45"/>
      <c r="D41" s="45">
        <f ca="1">3.6*OFFSET(D$112,MATCH($N$1,$C$112:$C$113,0)-1,0)</f>
        <v>3.6</v>
      </c>
      <c r="E41" s="45">
        <f ca="1">40.9*OFFSET(E$112,MATCH($N$1,$C$112:$C$113,0)-1,0)</f>
        <v>40.9</v>
      </c>
      <c r="F41" s="45">
        <f ca="1">33.1*OFFSET(F$112,MATCH($N$1,$C$112:$C$113,0)-1,0)</f>
        <v>33.1</v>
      </c>
      <c r="G41" s="45">
        <f ca="1">52.6*OFFSET(G$112,MATCH($N$1,$C$112:$C$113,0)-1,0)</f>
        <v>52.6</v>
      </c>
      <c r="H41" s="45">
        <f ca="1">41.3*OFFSET(H$112,MATCH($N$1,$C$112:$C$113,0)-1,0)</f>
        <v>41.3</v>
      </c>
      <c r="I41" s="45">
        <f ca="1">75.7*OFFSET(I$112,MATCH($N$1,$C$112:$C$113,0)-1,0)</f>
        <v>75.7</v>
      </c>
      <c r="J41" s="45">
        <f ca="1">71.9*OFFSET(J$112,MATCH($N$1,$C$112:$C$113,0)-1,0)</f>
        <v>71.900000000000006</v>
      </c>
      <c r="K41" s="45">
        <f ca="1">46.5*OFFSET(K$112,MATCH($N$1,$C$112:$C$113,0)-1,0)</f>
        <v>46.5</v>
      </c>
      <c r="L41" s="45">
        <f ca="1">46.8*OFFSET(L$112,MATCH($N$1,$C$112:$C$113,0)-1,0)</f>
        <v>46.8</v>
      </c>
      <c r="M41" s="45">
        <f ca="1">14.4*OFFSET(M$112,MATCH($N$1,$C$112:$C$113,0)-1,0)</f>
        <v>14.4</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22</v>
      </c>
      <c r="F46" s="94" t="s">
        <v>22</v>
      </c>
      <c r="G46" s="94" t="s">
        <v>22</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Area VIIBCDEFGHK trawlers 10-24m</v>
      </c>
      <c r="C48" s="96"/>
      <c r="D48" s="96"/>
      <c r="E48" s="96"/>
      <c r="F48" s="96"/>
      <c r="G48" s="96"/>
      <c r="K48" s="96" t="str">
        <f>$B24&amp;CHAR(10)&amp;$A$1</f>
        <v>Operating profit per kW day at sea (£)
Area VIIBCDEFGHK trawlers 10-24m</v>
      </c>
    </row>
    <row r="49" spans="1:11" s="82" customFormat="1" x14ac:dyDescent="0.2">
      <c r="A49" s="96" t="str">
        <f>$B22&amp;CHAR(10)&amp;$A$1</f>
        <v>Fishing income per kW day at sea (£)
Area VIIBCDEFGHK trawlers 10-24m</v>
      </c>
    </row>
    <row r="50" spans="1:11" s="82" customFormat="1" x14ac:dyDescent="0.2">
      <c r="A50" s="96" t="str">
        <f>$B20&amp;CHAR(10)&amp;$A$1</f>
        <v>Average price per tonne landed (£)
Area VIIBCDEFGHK trawlers 10-24m</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Area VIIBCDEFGHK trawlers 10-24m</v>
      </c>
      <c r="F62" s="96" t="str">
        <f>$B20&amp;CHAR(10)&amp;$A$1</f>
        <v>Average price per tonne landed (£)
Area VIIBCDEFGHK trawlers 10-24m</v>
      </c>
      <c r="K62" s="96" t="str">
        <f>"Average annual operating profit per vessel (£'000)"&amp;CHAR(10)&amp;$A$1</f>
        <v>Average annual operating profit per vessel (£'000)
Area VIIBCDEFGHK trawlers 10-24m</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Area VIIBCDEFGHK trawlers 10-24m</v>
      </c>
      <c r="F76" s="96" t="str">
        <f>"Top 5 landed species by value in "&amp;A77&amp;CHAR(10)&amp;A1</f>
        <v>Top 5 landed species by value in 2020
Area VIIBCDEFGHK trawlers 10-24m</v>
      </c>
    </row>
    <row r="77" spans="1:11" s="96" customFormat="1" x14ac:dyDescent="0.2">
      <c r="A77" s="96">
        <v>2020</v>
      </c>
      <c r="B77" s="96" t="s">
        <v>181</v>
      </c>
      <c r="C77" s="97">
        <v>0.12928495850397145</v>
      </c>
      <c r="D77" s="98">
        <v>11115023</v>
      </c>
      <c r="G77" s="96" t="s">
        <v>182</v>
      </c>
      <c r="H77" s="97">
        <v>0.16152907546608633</v>
      </c>
      <c r="I77" s="98">
        <v>12153634</v>
      </c>
      <c r="K77" s="96" t="s">
        <v>87</v>
      </c>
    </row>
    <row r="78" spans="1:11" s="96" customFormat="1" x14ac:dyDescent="0.2">
      <c r="B78" s="96" t="s">
        <v>183</v>
      </c>
      <c r="C78" s="97">
        <v>0.12332809870597956</v>
      </c>
      <c r="D78" s="98">
        <v>12153634</v>
      </c>
      <c r="G78" s="96" t="s">
        <v>184</v>
      </c>
      <c r="H78" s="97">
        <v>0.12121436684374338</v>
      </c>
      <c r="I78" s="98">
        <v>553960</v>
      </c>
    </row>
    <row r="79" spans="1:11" s="96" customFormat="1" x14ac:dyDescent="0.2">
      <c r="B79" s="96" t="s">
        <v>185</v>
      </c>
      <c r="C79" s="97">
        <v>0.10675193522822875</v>
      </c>
      <c r="D79" s="98">
        <v>2480382</v>
      </c>
      <c r="G79" s="96" t="s">
        <v>186</v>
      </c>
      <c r="H79" s="97">
        <v>0.10895929730722839</v>
      </c>
      <c r="I79" s="98">
        <v>3050596</v>
      </c>
    </row>
    <row r="80" spans="1:11" s="96" customFormat="1" x14ac:dyDescent="0.2">
      <c r="B80" s="96" t="s">
        <v>187</v>
      </c>
      <c r="C80" s="97">
        <v>7.1229862873855951E-2</v>
      </c>
      <c r="D80" s="98">
        <v>3689192</v>
      </c>
      <c r="G80" s="96" t="s">
        <v>188</v>
      </c>
      <c r="H80" s="97">
        <v>7.4719094612007569E-2</v>
      </c>
      <c r="I80" s="98">
        <v>1692097</v>
      </c>
    </row>
    <row r="81" spans="1:19" s="96" customFormat="1" x14ac:dyDescent="0.2">
      <c r="B81" s="96" t="s">
        <v>189</v>
      </c>
      <c r="C81" s="97">
        <v>6.2941310491351363E-2</v>
      </c>
      <c r="D81" s="98">
        <v>7434864</v>
      </c>
      <c r="G81" s="96" t="s">
        <v>190</v>
      </c>
      <c r="H81" s="97">
        <v>5.7362278002418991E-2</v>
      </c>
      <c r="I81" s="98">
        <v>3689192</v>
      </c>
    </row>
    <row r="82" spans="1:19" s="96" customFormat="1" x14ac:dyDescent="0.2">
      <c r="B82" s="96" t="s">
        <v>191</v>
      </c>
      <c r="C82" s="97">
        <v>0.50646383419661289</v>
      </c>
      <c r="D82" s="98">
        <v>5920853</v>
      </c>
      <c r="G82" s="96" t="s">
        <v>192</v>
      </c>
      <c r="H82" s="97">
        <v>0.47621588776851531</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103</v>
      </c>
      <c r="D92" s="102">
        <v>9.2216356336864522E-2</v>
      </c>
      <c r="E92" s="102"/>
      <c r="F92" s="102">
        <v>0.10992614092339756</v>
      </c>
      <c r="G92" s="102">
        <v>0.17191068170665549</v>
      </c>
      <c r="H92" s="102">
        <v>0.19576597155737094</v>
      </c>
      <c r="I92" s="102">
        <v>0.36222379671670868</v>
      </c>
      <c r="J92" s="102">
        <v>0.13703770294416773</v>
      </c>
      <c r="K92" s="102">
        <v>0.16716818698503155</v>
      </c>
      <c r="L92" s="102">
        <v>0.16152907546608633</v>
      </c>
      <c r="M92" s="102">
        <v>0.14055983170080191</v>
      </c>
      <c r="O92" s="96">
        <v>12153634</v>
      </c>
    </row>
    <row r="93" spans="1:19" s="96" customFormat="1" hidden="1" x14ac:dyDescent="0.2">
      <c r="B93" s="96">
        <v>2</v>
      </c>
      <c r="C93" s="96" t="s">
        <v>193</v>
      </c>
      <c r="D93" s="102">
        <v>0.18806921559390777</v>
      </c>
      <c r="E93" s="102">
        <v>0.22855291347375897</v>
      </c>
      <c r="F93" s="102">
        <v>0.21216468615648737</v>
      </c>
      <c r="G93" s="102">
        <v>0.18660859042451419</v>
      </c>
      <c r="H93" s="102">
        <v>0.18170108805625268</v>
      </c>
      <c r="I93" s="102">
        <v>0.11834132038418257</v>
      </c>
      <c r="J93" s="102">
        <v>0.12391427717230459</v>
      </c>
      <c r="K93" s="102">
        <v>0.14153244613682647</v>
      </c>
      <c r="L93" s="102">
        <v>0.12121436684374338</v>
      </c>
      <c r="M93" s="102">
        <v>0.13898782210711899</v>
      </c>
      <c r="O93" s="96">
        <v>553960</v>
      </c>
    </row>
    <row r="94" spans="1:19" s="96" customFormat="1" hidden="1" x14ac:dyDescent="0.2">
      <c r="B94" s="96">
        <v>3</v>
      </c>
      <c r="C94" s="96" t="s">
        <v>143</v>
      </c>
      <c r="D94" s="102">
        <v>8.4494685258565419E-2</v>
      </c>
      <c r="E94" s="102">
        <v>6.9352484412298743E-2</v>
      </c>
      <c r="F94" s="102">
        <v>7.3905013771125599E-2</v>
      </c>
      <c r="G94" s="102">
        <v>7.9531859877568667E-2</v>
      </c>
      <c r="H94" s="102">
        <v>8.6424500147920372E-2</v>
      </c>
      <c r="I94" s="102">
        <v>5.6202794936955361E-2</v>
      </c>
      <c r="J94" s="102">
        <v>7.3422283385218112E-2</v>
      </c>
      <c r="K94" s="102">
        <v>8.9598691374285208E-2</v>
      </c>
      <c r="L94" s="102">
        <v>0.10895929730722839</v>
      </c>
      <c r="M94" s="102">
        <v>0.1094516468164094</v>
      </c>
      <c r="O94" s="96">
        <v>3050596</v>
      </c>
    </row>
    <row r="95" spans="1:19" s="96" customFormat="1" hidden="1" x14ac:dyDescent="0.2">
      <c r="B95" s="96">
        <v>4</v>
      </c>
      <c r="C95" s="96" t="s">
        <v>144</v>
      </c>
      <c r="D95" s="102"/>
      <c r="E95" s="102"/>
      <c r="F95" s="102"/>
      <c r="G95" s="102"/>
      <c r="H95" s="102"/>
      <c r="I95" s="102"/>
      <c r="J95" s="102"/>
      <c r="K95" s="102">
        <v>6.2303994123029512E-2</v>
      </c>
      <c r="L95" s="102">
        <v>7.4719094612007569E-2</v>
      </c>
      <c r="M95" s="102">
        <v>8.8019290644475237E-2</v>
      </c>
      <c r="O95" s="96">
        <v>1692097</v>
      </c>
    </row>
    <row r="96" spans="1:19" s="96" customFormat="1" hidden="1" x14ac:dyDescent="0.2">
      <c r="B96" s="96">
        <v>5</v>
      </c>
      <c r="C96" s="96" t="s">
        <v>194</v>
      </c>
      <c r="D96" s="102"/>
      <c r="E96" s="102"/>
      <c r="F96" s="102"/>
      <c r="G96" s="102">
        <v>5.3811205469792844E-2</v>
      </c>
      <c r="H96" s="102">
        <v>4.0321912100368895E-2</v>
      </c>
      <c r="I96" s="102"/>
      <c r="J96" s="102"/>
      <c r="K96" s="102"/>
      <c r="L96" s="102">
        <v>5.7362278002418991E-2</v>
      </c>
      <c r="M96" s="102">
        <v>6.1565349808513636E-2</v>
      </c>
      <c r="O96" s="96">
        <v>3689192</v>
      </c>
    </row>
    <row r="97" spans="1:15" s="96" customFormat="1" hidden="1" x14ac:dyDescent="0.2">
      <c r="B97" s="96">
        <v>6</v>
      </c>
      <c r="C97" s="96" t="s">
        <v>145</v>
      </c>
      <c r="D97" s="102">
        <v>7.6933776012108476E-2</v>
      </c>
      <c r="E97" s="102">
        <v>0.11313551216495404</v>
      </c>
      <c r="F97" s="102">
        <v>0.11954291175096382</v>
      </c>
      <c r="G97" s="102">
        <v>9.6884274781710258E-2</v>
      </c>
      <c r="H97" s="102">
        <v>6.1294379921496139E-2</v>
      </c>
      <c r="I97" s="102">
        <v>7.4141566626185429E-2</v>
      </c>
      <c r="J97" s="102">
        <v>8.0152419468793826E-2</v>
      </c>
      <c r="K97" s="102">
        <v>6.605308399677462E-2</v>
      </c>
      <c r="L97" s="102"/>
      <c r="M97" s="102"/>
      <c r="O97" s="96">
        <v>11115023</v>
      </c>
    </row>
    <row r="98" spans="1:15" s="96" customFormat="1" hidden="1" x14ac:dyDescent="0.2">
      <c r="B98" s="96">
        <v>7</v>
      </c>
      <c r="C98" s="96" t="s">
        <v>177</v>
      </c>
      <c r="D98" s="102"/>
      <c r="E98" s="102"/>
      <c r="F98" s="102">
        <v>4.4567198947102628E-2</v>
      </c>
      <c r="G98" s="102"/>
      <c r="H98" s="102"/>
      <c r="I98" s="102">
        <v>3.8693456409122376E-2</v>
      </c>
      <c r="J98" s="102">
        <v>6.8869975762989644E-2</v>
      </c>
      <c r="K98" s="102"/>
      <c r="L98" s="102"/>
      <c r="M98" s="102"/>
      <c r="O98" s="96">
        <v>2480382</v>
      </c>
    </row>
    <row r="99" spans="1:15" s="96" customFormat="1" hidden="1" x14ac:dyDescent="0.2">
      <c r="B99" s="96">
        <v>8</v>
      </c>
      <c r="C99" s="96" t="s">
        <v>20</v>
      </c>
      <c r="D99" s="102">
        <v>0.10277258756702529</v>
      </c>
      <c r="E99" s="102">
        <v>7.975497210505321E-2</v>
      </c>
      <c r="F99" s="102"/>
      <c r="G99" s="102"/>
      <c r="H99" s="102"/>
      <c r="I99" s="102"/>
      <c r="J99" s="102"/>
      <c r="K99" s="102"/>
      <c r="L99" s="102"/>
      <c r="M99" s="102"/>
      <c r="O99" s="96">
        <v>7434864</v>
      </c>
    </row>
    <row r="100" spans="1:15" s="96" customFormat="1" hidden="1" x14ac:dyDescent="0.2">
      <c r="B100" s="96">
        <v>9</v>
      </c>
      <c r="C100" s="96" t="s">
        <v>100</v>
      </c>
      <c r="D100" s="102"/>
      <c r="E100" s="102">
        <v>6.1724910154270007E-2</v>
      </c>
      <c r="F100" s="102"/>
      <c r="G100" s="102"/>
      <c r="H100" s="102"/>
      <c r="I100" s="102"/>
      <c r="J100" s="102"/>
      <c r="K100" s="102"/>
      <c r="L100" s="102"/>
      <c r="M100" s="102"/>
      <c r="O100" s="96">
        <v>8497745</v>
      </c>
    </row>
    <row r="101" spans="1:15" s="96" customFormat="1" hidden="1" x14ac:dyDescent="0.2">
      <c r="B101" s="96">
        <v>10</v>
      </c>
      <c r="C101" s="96" t="s">
        <v>107</v>
      </c>
      <c r="D101" s="102">
        <v>0.45551337923152851</v>
      </c>
      <c r="E101" s="102">
        <v>0.44747920768966504</v>
      </c>
      <c r="F101" s="102">
        <v>0.439894048450923</v>
      </c>
      <c r="G101" s="102">
        <v>0.41125338773975856</v>
      </c>
      <c r="H101" s="102">
        <v>0.43449214821659099</v>
      </c>
      <c r="I101" s="102">
        <v>0.35039706492684553</v>
      </c>
      <c r="J101" s="102">
        <v>0.51660334126652607</v>
      </c>
      <c r="K101" s="102">
        <v>0.47334359738405263</v>
      </c>
      <c r="L101" s="102">
        <v>0.47621588776851531</v>
      </c>
      <c r="M101" s="102">
        <v>0.46141605892268084</v>
      </c>
      <c r="O101" s="96">
        <v>5920853</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11</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14</v>
      </c>
      <c r="D120" s="56">
        <v>26</v>
      </c>
      <c r="E120" s="56">
        <v>14</v>
      </c>
      <c r="F120" s="57">
        <v>48</v>
      </c>
    </row>
    <row r="121" spans="1:15" ht="18" customHeight="1" x14ac:dyDescent="0.2">
      <c r="A121" s="194" t="s">
        <v>27</v>
      </c>
      <c r="B121" s="35" t="s">
        <v>62</v>
      </c>
      <c r="C121" s="58">
        <v>14.541428565979004</v>
      </c>
      <c r="D121" s="58">
        <v>12.606538772583008</v>
      </c>
      <c r="E121" s="58">
        <v>11.898571014404297</v>
      </c>
      <c r="F121" s="59">
        <v>13.174374580383301</v>
      </c>
    </row>
    <row r="122" spans="1:15" ht="18" customHeight="1" x14ac:dyDescent="0.2">
      <c r="A122" s="195"/>
      <c r="B122" s="37" t="s">
        <v>55</v>
      </c>
      <c r="C122" s="60">
        <v>243.07142639160156</v>
      </c>
      <c r="D122" s="60">
        <v>180.76923370361328</v>
      </c>
      <c r="E122" s="60">
        <v>146.21427917480469</v>
      </c>
      <c r="F122" s="61">
        <v>210.95832824707031</v>
      </c>
    </row>
    <row r="123" spans="1:15" ht="18" customHeight="1" x14ac:dyDescent="0.2">
      <c r="A123" s="195"/>
      <c r="B123" s="37" t="s">
        <v>56</v>
      </c>
      <c r="C123" s="60">
        <v>50.142856597900391</v>
      </c>
      <c r="D123" s="60">
        <v>26.576922416687012</v>
      </c>
      <c r="E123" s="60">
        <v>22.714284896850586</v>
      </c>
      <c r="F123" s="61">
        <v>34.604167938232422</v>
      </c>
    </row>
    <row r="124" spans="1:15" ht="18" customHeight="1" x14ac:dyDescent="0.2">
      <c r="A124" s="195"/>
      <c r="B124" s="37" t="s">
        <v>57</v>
      </c>
      <c r="C124" s="60">
        <v>192.44906616210938</v>
      </c>
      <c r="D124" s="60">
        <v>143.35841369628906</v>
      </c>
      <c r="E124" s="60">
        <v>119.34625244140625</v>
      </c>
      <c r="F124" s="61">
        <v>155.65914916992188</v>
      </c>
    </row>
    <row r="125" spans="1:15" ht="18" customHeight="1" x14ac:dyDescent="0.2">
      <c r="A125" s="195"/>
      <c r="B125" s="37" t="s">
        <v>58</v>
      </c>
      <c r="C125" s="33">
        <v>246.51142883300781</v>
      </c>
      <c r="D125" s="33">
        <v>75.546014785766602</v>
      </c>
      <c r="E125" s="33">
        <v>32.156200408935547</v>
      </c>
      <c r="F125" s="62">
        <v>87.131729125976563</v>
      </c>
    </row>
    <row r="126" spans="1:15" ht="18" customHeight="1" x14ac:dyDescent="0.2">
      <c r="A126" s="195"/>
      <c r="B126" s="37" t="s">
        <v>63</v>
      </c>
      <c r="C126" s="33">
        <f ca="1">472.5723125*OFFSET($L$112,MATCH($N$1,$C$112:$C$113,0)-1,0)</f>
        <v>472.57231250000001</v>
      </c>
      <c r="D126" s="33">
        <f ca="1">168.2297890625*OFFSET($L$112,MATCH($N$1,$C$112:$C$113,0)-1,0)</f>
        <v>168.2297890625</v>
      </c>
      <c r="E126" s="33">
        <f ca="1">81.01171875*OFFSET($L$112,MATCH($N$1,$C$112:$C$113,0)-1,0)</f>
        <v>81.01171875</v>
      </c>
      <c r="F126" s="62">
        <f ca="1">151.104859375*OFFSET($L$112,MATCH($N$1,$C$112:$C$113,0)-1,0)</f>
        <v>151.10485937499999</v>
      </c>
    </row>
    <row r="127" spans="1:15" ht="18" customHeight="1" x14ac:dyDescent="0.2">
      <c r="A127" s="195"/>
      <c r="B127" s="37" t="s">
        <v>60</v>
      </c>
      <c r="C127" s="60">
        <v>196.28572082519531</v>
      </c>
      <c r="D127" s="60">
        <v>139.84615325927734</v>
      </c>
      <c r="E127" s="60">
        <v>120.85713958740234</v>
      </c>
      <c r="F127" s="61">
        <v>127.16666412353516</v>
      </c>
    </row>
    <row r="128" spans="1:15" ht="18" customHeight="1" x14ac:dyDescent="0.2">
      <c r="A128" s="195"/>
      <c r="B128" s="37" t="s">
        <v>64</v>
      </c>
      <c r="C128" s="60">
        <v>17.928571701049805</v>
      </c>
      <c r="D128" s="60">
        <v>32</v>
      </c>
      <c r="E128" s="60">
        <v>37.071430206298828</v>
      </c>
      <c r="F128" s="61">
        <v>28.765956878662109</v>
      </c>
    </row>
    <row r="129" spans="1:15" ht="18" customHeight="1" x14ac:dyDescent="0.2">
      <c r="A129" s="195"/>
      <c r="B129" s="37" t="s">
        <v>65</v>
      </c>
      <c r="C129" s="63">
        <v>1.25588059425354</v>
      </c>
      <c r="D129" s="63">
        <v>0.54020802878791307</v>
      </c>
      <c r="E129" s="63">
        <v>0.26606786251068115</v>
      </c>
      <c r="F129" s="64">
        <v>0.68517744541168213</v>
      </c>
    </row>
    <row r="130" spans="1:15" ht="18" customHeight="1" x14ac:dyDescent="0.2">
      <c r="A130" s="196"/>
      <c r="B130" s="39" t="s">
        <v>28</v>
      </c>
      <c r="C130" s="40">
        <f ca="1">1917.04017431229*OFFSET($L$112,MATCH($N$1,$C$112:$C$113,0)-1,0)</f>
        <v>1917.04017431229</v>
      </c>
      <c r="D130" s="40">
        <f ca="1">2226.85193308431*OFFSET($L$112,MATCH($N$1,$C$112:$C$113,0)-1,0)</f>
        <v>2226.8519330843101</v>
      </c>
      <c r="E130" s="40">
        <f ca="1">2519.31875407421*OFFSET($L$112,MATCH($N$1,$C$112:$C$113,0)-1,0)</f>
        <v>2519.3187540742101</v>
      </c>
      <c r="F130" s="65">
        <f ca="1">1734*OFFSET($L$112,MATCH($N$1,$C$112:$C$113,0)-1,0)</f>
        <v>1734</v>
      </c>
    </row>
    <row r="131" spans="1:15" ht="18" customHeight="1" x14ac:dyDescent="0.2">
      <c r="A131" s="205" t="s">
        <v>29</v>
      </c>
      <c r="B131" s="35" t="s">
        <v>66</v>
      </c>
      <c r="C131" s="66">
        <v>4.9141592758281982</v>
      </c>
      <c r="D131" s="66">
        <v>2.8588300991756674</v>
      </c>
      <c r="E131" s="66">
        <v>1.7191889527085518</v>
      </c>
      <c r="F131" s="67">
        <v>3.2917524396437527</v>
      </c>
    </row>
    <row r="132" spans="1:15" ht="18" customHeight="1" x14ac:dyDescent="0.2">
      <c r="A132" s="206"/>
      <c r="B132" s="37" t="s">
        <v>67</v>
      </c>
      <c r="C132" s="63">
        <f ca="1">9.42064075473203*OFFSET($L$112,MATCH($N$1,$C$112:$C$113,0)-1,0)</f>
        <v>9.4206407547320303</v>
      </c>
      <c r="D132" s="63">
        <f ca="1">6.36619133270894*OFFSET($L$112,MATCH($N$1,$C$112:$C$113,0)-1,0)</f>
        <v>6.3661913327089401</v>
      </c>
      <c r="E132" s="63">
        <f ca="1">4.33118497035585*OFFSET($L$112,MATCH($N$1,$C$112:$C$113,0)-1,0)</f>
        <v>4.3311849703558503</v>
      </c>
      <c r="F132" s="64">
        <f ca="1">5.70859541614896*OFFSET($L$112,MATCH($N$1,$C$112:$C$113,0)-1,0)</f>
        <v>5.7085954161489596</v>
      </c>
    </row>
    <row r="133" spans="1:15" ht="18" customHeight="1" x14ac:dyDescent="0.2">
      <c r="A133" s="206"/>
      <c r="B133" s="37" t="s">
        <v>11</v>
      </c>
      <c r="C133" s="63">
        <f ca="1">6.71015809552762*OFFSET($L$112,MATCH($N$1,$C$112:$C$113,0)-1,0)</f>
        <v>6.7101580955276203</v>
      </c>
      <c r="D133" s="63">
        <f ca="1">5.06031401960228*OFFSET($L$112,MATCH($N$1,$C$112:$C$113,0)-1,0)</f>
        <v>5.0603140196022798</v>
      </c>
      <c r="E133" s="63">
        <f ca="1">3.97957890874355*OFFSET($L$112,MATCH($N$1,$C$112:$C$113,0)-1,0)</f>
        <v>3.9795789087435498</v>
      </c>
      <c r="F133" s="64">
        <f ca="1">4.65534454145736*OFFSET($L$112,MATCH($N$1,$C$112:$C$113,0)-1,0)</f>
        <v>4.6553445414573602</v>
      </c>
    </row>
    <row r="134" spans="1:15" ht="18" customHeight="1" x14ac:dyDescent="0.2">
      <c r="A134" s="207"/>
      <c r="B134" s="39" t="s">
        <v>12</v>
      </c>
      <c r="C134" s="68">
        <f ca="1">2.7104826592044*OFFSET($L$112,MATCH($N$1,$C$112:$C$113,0)-1,0)</f>
        <v>2.7104826592043998</v>
      </c>
      <c r="D134" s="68">
        <f ca="1">1.30587731310666*OFFSET($L$112,MATCH($N$1,$C$112:$C$113,0)-1,0)</f>
        <v>1.3058773131066601</v>
      </c>
      <c r="E134" s="68">
        <f ca="1">0.351606061612302*OFFSET($L$112,MATCH($N$1,$C$112:$C$113,0)-1,0)</f>
        <v>0.35160606161230201</v>
      </c>
      <c r="F134" s="69">
        <f ca="1">1.0532508746916*OFFSET($L$112,MATCH($N$1,$C$112:$C$113,0)-1,0)</f>
        <v>1.0532508746916001</v>
      </c>
    </row>
    <row r="135" spans="1:15" ht="18" customHeight="1" x14ac:dyDescent="0.2">
      <c r="A135" s="208" t="s">
        <v>49</v>
      </c>
      <c r="B135" s="37" t="s">
        <v>109</v>
      </c>
      <c r="C135" s="70">
        <f ca="1">50.47367578125*OFFSET($L$112,MATCH($N$1,$C$112:$C$113,0)-1,0)</f>
        <v>50.473675781250002</v>
      </c>
      <c r="D135" s="70">
        <f ca="1">31.86217578125*OFFSET($L$112,MATCH($N$1,$C$112:$C$113,0)-1,0)</f>
        <v>31.862175781249999</v>
      </c>
      <c r="E135" s="70">
        <f ca="1">25.384501953125*OFFSET($L$112,MATCH($N$1,$C$112:$C$113,0)-1,0)</f>
        <v>25.384501953125</v>
      </c>
      <c r="F135" s="71">
        <f ca="1">21.307001953125*OFFSET($L$112,MATCH($N$1,$C$112:$C$113,0)-1,0)</f>
        <v>21.307001953124999</v>
      </c>
    </row>
    <row r="136" spans="1:15" ht="18" customHeight="1" x14ac:dyDescent="0.2">
      <c r="A136" s="209"/>
      <c r="B136" s="37" t="s">
        <v>110</v>
      </c>
      <c r="C136" s="31">
        <v>96957.143227446824</v>
      </c>
      <c r="D136" s="31">
        <v>61153.846976400819</v>
      </c>
      <c r="E136" s="31">
        <v>48707.14229797083</v>
      </c>
      <c r="F136" s="72">
        <v>58145.833333333336</v>
      </c>
    </row>
    <row r="137" spans="1:15" ht="18" customHeight="1" x14ac:dyDescent="0.2">
      <c r="A137" s="209"/>
      <c r="B137" s="37" t="s">
        <v>111</v>
      </c>
      <c r="C137" s="31">
        <v>493.959228515625</v>
      </c>
      <c r="D137" s="31">
        <v>437.29373708993239</v>
      </c>
      <c r="E137" s="31">
        <v>403.01419067382813</v>
      </c>
      <c r="F137" s="72">
        <v>457.24114990234375</v>
      </c>
    </row>
    <row r="138" spans="1:15" ht="18" customHeight="1" x14ac:dyDescent="0.2">
      <c r="A138" s="209"/>
      <c r="B138" s="37" t="s">
        <v>112</v>
      </c>
      <c r="C138" s="31">
        <f ca="1">257.14390007106*OFFSET($L$112,MATCH($N$1,$C$112:$C$113,0)-1,0)</f>
        <v>257.14390007105999</v>
      </c>
      <c r="D138" s="31">
        <f ca="1">227.837341526134*OFFSET($L$112,MATCH($N$1,$C$112:$C$113,0)-1,0)</f>
        <v>227.837341526134</v>
      </c>
      <c r="E138" s="31">
        <f ca="1">210.037255885634*OFFSET($L$112,MATCH($N$1,$C$112:$C$113,0)-1,0)</f>
        <v>210.03725588563401</v>
      </c>
      <c r="F138" s="72">
        <f ca="1">167.551788041137*OFFSET($L$112,MATCH($N$1,$C$112:$C$113,0)-1,0)</f>
        <v>167.551788041137</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204.751868991202*OFFSET($L$112,MATCH($N$1,$C$112:$C$113,0)-1,0)</f>
        <v>204.751868991202</v>
      </c>
      <c r="D139" s="31">
        <f ca="1">421.758525206191*OFFSET($L$112,MATCH($N$1,$C$112:$C$113,0)-1,0)</f>
        <v>421.758525206191</v>
      </c>
      <c r="E139" s="31">
        <f ca="1">789.412356880049*OFFSET($L$112,MATCH($N$1,$C$112:$C$113,0)-1,0)</f>
        <v>789.41235688004895</v>
      </c>
      <c r="F139" s="72">
        <f ca="1">244.53780691439*OFFSET($L$112,MATCH($N$1,$C$112:$C$113,0)-1,0)</f>
        <v>244.53780691438999</v>
      </c>
      <c r="I139" s="48"/>
      <c r="K139" s="73" t="s">
        <v>114</v>
      </c>
      <c r="L139" s="74">
        <f t="shared" ref="L139:M141" ca="1" si="2">C140</f>
        <v>501.05190625</v>
      </c>
      <c r="M139" s="74">
        <f t="shared" ca="1" si="2"/>
        <v>178.368171875</v>
      </c>
      <c r="N139" s="74">
        <f ca="1">E140</f>
        <v>85.893890624999997</v>
      </c>
      <c r="O139" s="74"/>
    </row>
    <row r="140" spans="1:15" ht="18" customHeight="1" x14ac:dyDescent="0.2">
      <c r="A140" s="187" t="s">
        <v>50</v>
      </c>
      <c r="B140" s="35" t="s">
        <v>115</v>
      </c>
      <c r="C140" s="75">
        <f ca="1">501.05190625*OFFSET($L$112,MATCH($N$1,$C$112:$C$113,0)-1,0)</f>
        <v>501.05190625</v>
      </c>
      <c r="D140" s="75">
        <f ca="1">178.368171875*OFFSET($L$112,MATCH($N$1,$C$112:$C$113,0)-1,0)</f>
        <v>178.368171875</v>
      </c>
      <c r="E140" s="75">
        <f ca="1">85.893890625*OFFSET($L$112,MATCH($N$1,$C$112:$C$113,0)-1,0)</f>
        <v>85.893890624999997</v>
      </c>
      <c r="F140" s="76">
        <f ca="1">165.980421875*OFFSET($L$112,MATCH($N$1,$C$112:$C$113,0)-1,0)</f>
        <v>165.98042187499999</v>
      </c>
      <c r="I140" s="48"/>
      <c r="K140" s="73" t="s">
        <v>116</v>
      </c>
      <c r="L140" s="74">
        <f t="shared" ca="1" si="2"/>
        <v>365.08462500000002</v>
      </c>
      <c r="M140" s="74">
        <f t="shared" ca="1" si="2"/>
        <v>143.85971093750001</v>
      </c>
      <c r="N140" s="74">
        <f ca="1">E141</f>
        <v>79.317351562499994</v>
      </c>
      <c r="O140" s="74"/>
    </row>
    <row r="141" spans="1:15" ht="18" customHeight="1" x14ac:dyDescent="0.2">
      <c r="A141" s="188"/>
      <c r="B141" s="37" t="s">
        <v>117</v>
      </c>
      <c r="C141" s="31">
        <f ca="1">365.084625*OFFSET($L$112,MATCH($N$1,$C$112:$C$113,0)-1,0)</f>
        <v>365.08462500000002</v>
      </c>
      <c r="D141" s="31">
        <f ca="1">143.8597109375*OFFSET($L$112,MATCH($N$1,$C$112:$C$113,0)-1,0)</f>
        <v>143.85971093750001</v>
      </c>
      <c r="E141" s="31">
        <f ca="1">79.3173515625*OFFSET($L$112,MATCH($N$1,$C$112:$C$113,0)-1,0)</f>
        <v>79.317351562499994</v>
      </c>
      <c r="F141" s="72">
        <f ca="1">138.101171875*OFFSET($L$112,MATCH($N$1,$C$112:$C$113,0)-1,0)</f>
        <v>138.10117187500001</v>
      </c>
      <c r="I141" s="48"/>
      <c r="K141" s="73" t="s">
        <v>118</v>
      </c>
      <c r="L141" s="74">
        <f t="shared" ca="1" si="2"/>
        <v>135.96728125000001</v>
      </c>
      <c r="M141" s="74">
        <f t="shared" ca="1" si="2"/>
        <v>34.508460937499997</v>
      </c>
      <c r="N141" s="74">
        <f ca="1">E142</f>
        <v>6.5765390625000002</v>
      </c>
      <c r="O141" s="74"/>
    </row>
    <row r="142" spans="1:15" ht="18" customHeight="1" x14ac:dyDescent="0.2">
      <c r="A142" s="189"/>
      <c r="B142" s="39" t="s">
        <v>119</v>
      </c>
      <c r="C142" s="40">
        <f ca="1">135.96728125*OFFSET($L$112,MATCH($N$1,$C$112:$C$113,0)-1,0)</f>
        <v>135.96728125000001</v>
      </c>
      <c r="D142" s="40">
        <f ca="1">34.5084609375*OFFSET($L$112,MATCH($N$1,$C$112:$C$113,0)-1,0)</f>
        <v>34.508460937499997</v>
      </c>
      <c r="E142" s="40">
        <f ca="1">6.5765390625*OFFSET($L$112,MATCH($N$1,$C$112:$C$113,0)-1,0)</f>
        <v>6.5765390625000002</v>
      </c>
      <c r="F142" s="65">
        <f ca="1">27.879244140625*OFFSET($L$112,MATCH($N$1,$C$112:$C$113,0)-1,0)</f>
        <v>27.879244140625001</v>
      </c>
      <c r="I142" s="48"/>
      <c r="K142" s="73" t="s">
        <v>120</v>
      </c>
      <c r="L142" s="77">
        <f ca="1">IFERROR(L140/L$139,"")</f>
        <v>0.72863633576885534</v>
      </c>
      <c r="M142" s="77">
        <f t="shared" ref="M142:N143" ca="1" si="3">IFERROR(M140/M$139,"")</f>
        <v>0.80653240668024873</v>
      </c>
      <c r="N142" s="77">
        <f t="shared" ca="1" si="3"/>
        <v>0.92343414630951814</v>
      </c>
      <c r="O142" s="77"/>
    </row>
    <row r="143" spans="1:15" ht="18" customHeight="1" x14ac:dyDescent="0.2">
      <c r="I143" s="48"/>
      <c r="K143" s="73" t="s">
        <v>121</v>
      </c>
      <c r="L143" s="77">
        <f ca="1">IFERROR(L141/L$139,"")</f>
        <v>0.27136366423114472</v>
      </c>
      <c r="M143" s="77">
        <f t="shared" ca="1" si="3"/>
        <v>0.19346759331975127</v>
      </c>
      <c r="N143" s="77">
        <f t="shared" ca="1" si="3"/>
        <v>7.6565853690481842E-2</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11</v>
      </c>
      <c r="B161" s="53"/>
      <c r="C161" s="78" t="s">
        <v>45</v>
      </c>
      <c r="D161" s="78" t="s">
        <v>122</v>
      </c>
      <c r="E161" s="78" t="s">
        <v>47</v>
      </c>
      <c r="F161" s="78" t="s">
        <v>123</v>
      </c>
      <c r="G161" s="79">
        <v>10</v>
      </c>
      <c r="H161" s="78"/>
      <c r="I161" s="78" t="s">
        <v>45</v>
      </c>
      <c r="J161" s="78" t="s">
        <v>122</v>
      </c>
      <c r="K161" s="78" t="s">
        <v>47</v>
      </c>
      <c r="L161" s="53" t="s">
        <v>123</v>
      </c>
      <c r="R161" s="21"/>
      <c r="S161" s="21"/>
    </row>
    <row r="162" spans="1:19" s="48" customFormat="1" x14ac:dyDescent="0.2">
      <c r="A162" s="49">
        <v>1</v>
      </c>
      <c r="B162" s="53" t="s">
        <v>103</v>
      </c>
      <c r="C162" s="53">
        <v>0</v>
      </c>
      <c r="D162" s="53">
        <v>0.23196138910823355</v>
      </c>
      <c r="E162" s="53">
        <v>0.14879618398135563</v>
      </c>
      <c r="F162" s="49">
        <v>12153634</v>
      </c>
      <c r="G162" s="49">
        <v>1</v>
      </c>
      <c r="H162" s="53" t="s">
        <v>103</v>
      </c>
      <c r="I162" s="53">
        <v>3.0749182345839392E-2</v>
      </c>
      <c r="J162" s="53">
        <v>0.22689747897935511</v>
      </c>
      <c r="K162" s="53">
        <v>0.14816105641332566</v>
      </c>
      <c r="L162" s="49">
        <v>12153634</v>
      </c>
      <c r="R162" s="21"/>
      <c r="S162" s="21"/>
    </row>
    <row r="163" spans="1:19" s="48" customFormat="1" x14ac:dyDescent="0.2">
      <c r="A163" s="49">
        <v>2</v>
      </c>
      <c r="B163" s="53" t="s">
        <v>127</v>
      </c>
      <c r="C163" s="53">
        <v>2.9014012304513507E-2</v>
      </c>
      <c r="D163" s="53">
        <v>0.1546921731080414</v>
      </c>
      <c r="E163" s="53">
        <v>0.19900216883543401</v>
      </c>
      <c r="F163" s="49">
        <v>2480382</v>
      </c>
      <c r="G163" s="49">
        <v>2</v>
      </c>
      <c r="H163" s="53" t="s">
        <v>193</v>
      </c>
      <c r="I163" s="53">
        <v>0</v>
      </c>
      <c r="J163" s="53">
        <v>0.19896293281948962</v>
      </c>
      <c r="K163" s="53">
        <v>0.11398430264815451</v>
      </c>
      <c r="L163" s="49">
        <v>553960</v>
      </c>
      <c r="N163" s="48" t="s">
        <v>124</v>
      </c>
      <c r="R163" s="21"/>
      <c r="S163" s="21"/>
    </row>
    <row r="164" spans="1:19" s="48" customFormat="1" x14ac:dyDescent="0.2">
      <c r="A164" s="49">
        <v>3</v>
      </c>
      <c r="B164" s="53" t="s">
        <v>143</v>
      </c>
      <c r="C164" s="53">
        <v>0</v>
      </c>
      <c r="D164" s="53">
        <v>0.12962876628998141</v>
      </c>
      <c r="E164" s="53">
        <v>9.2684101534626501E-2</v>
      </c>
      <c r="F164" s="49">
        <v>3050596</v>
      </c>
      <c r="G164" s="49">
        <v>3</v>
      </c>
      <c r="H164" s="53" t="s">
        <v>143</v>
      </c>
      <c r="I164" s="53">
        <v>0</v>
      </c>
      <c r="J164" s="53">
        <v>0.1721818392248618</v>
      </c>
      <c r="K164" s="53">
        <v>0.13739466616822188</v>
      </c>
      <c r="L164" s="49">
        <v>3050596</v>
      </c>
      <c r="N164" s="48" t="s">
        <v>125</v>
      </c>
      <c r="R164" s="21"/>
      <c r="S164" s="21"/>
    </row>
    <row r="165" spans="1:19" s="48" customFormat="1" x14ac:dyDescent="0.2">
      <c r="A165" s="49">
        <v>4</v>
      </c>
      <c r="B165" s="53" t="s">
        <v>193</v>
      </c>
      <c r="C165" s="53">
        <v>0</v>
      </c>
      <c r="D165" s="53">
        <v>0.12677504283026936</v>
      </c>
      <c r="E165" s="53">
        <v>0</v>
      </c>
      <c r="F165" s="49">
        <v>553960</v>
      </c>
      <c r="G165" s="49">
        <v>4</v>
      </c>
      <c r="H165" s="53" t="s">
        <v>177</v>
      </c>
      <c r="I165" s="53">
        <v>0</v>
      </c>
      <c r="J165" s="53">
        <v>9.1007465458977518E-2</v>
      </c>
      <c r="K165" s="53">
        <v>0</v>
      </c>
      <c r="L165" s="49">
        <v>14393110</v>
      </c>
      <c r="R165" s="21"/>
      <c r="S165" s="21"/>
    </row>
    <row r="166" spans="1:19" s="48" customFormat="1" x14ac:dyDescent="0.2">
      <c r="A166" s="49">
        <v>5</v>
      </c>
      <c r="B166" s="53" t="s">
        <v>126</v>
      </c>
      <c r="C166" s="53">
        <v>0</v>
      </c>
      <c r="D166" s="53">
        <v>6.9120157366935428E-2</v>
      </c>
      <c r="E166" s="53">
        <v>9.4869928491548905E-2</v>
      </c>
      <c r="F166" s="49">
        <v>8497745</v>
      </c>
      <c r="G166" s="49">
        <v>5</v>
      </c>
      <c r="H166" s="53" t="s">
        <v>144</v>
      </c>
      <c r="I166" s="53">
        <v>3.0628178670876458E-2</v>
      </c>
      <c r="J166" s="53">
        <v>7.8834176300263792E-2</v>
      </c>
      <c r="K166" s="53">
        <v>6.0387685511148328E-2</v>
      </c>
      <c r="L166" s="49">
        <v>1692097</v>
      </c>
      <c r="R166" s="21"/>
      <c r="S166" s="21"/>
    </row>
    <row r="167" spans="1:19" s="48" customFormat="1" x14ac:dyDescent="0.2">
      <c r="A167" s="49">
        <v>6</v>
      </c>
      <c r="B167" s="53" t="s">
        <v>194</v>
      </c>
      <c r="C167" s="53">
        <v>5.2471721746913245E-2</v>
      </c>
      <c r="D167" s="53">
        <v>0</v>
      </c>
      <c r="E167" s="53">
        <v>0.12882785827501372</v>
      </c>
      <c r="F167" s="49">
        <v>3689192</v>
      </c>
      <c r="G167" s="49">
        <v>6</v>
      </c>
      <c r="H167" s="53" t="s">
        <v>194</v>
      </c>
      <c r="I167" s="53">
        <v>4.0296065864314896E-2</v>
      </c>
      <c r="J167" s="53">
        <v>0</v>
      </c>
      <c r="K167" s="53">
        <v>7.4917645956579543E-2</v>
      </c>
      <c r="L167" s="49">
        <v>3689192</v>
      </c>
      <c r="R167" s="21"/>
      <c r="S167" s="21"/>
    </row>
    <row r="168" spans="1:19" s="48" customFormat="1" x14ac:dyDescent="0.2">
      <c r="A168" s="49">
        <v>7</v>
      </c>
      <c r="B168" s="53" t="s">
        <v>195</v>
      </c>
      <c r="C168" s="53">
        <v>0.12735495298476912</v>
      </c>
      <c r="D168" s="53">
        <v>0</v>
      </c>
      <c r="E168" s="53">
        <v>0</v>
      </c>
      <c r="F168" s="49">
        <v>11115023</v>
      </c>
      <c r="G168" s="49">
        <v>7</v>
      </c>
      <c r="H168" s="53" t="s">
        <v>195</v>
      </c>
      <c r="I168" s="53">
        <v>2.7478817125387817E-2</v>
      </c>
      <c r="J168" s="53">
        <v>0</v>
      </c>
      <c r="K168" s="53">
        <v>0</v>
      </c>
      <c r="L168" s="49">
        <v>11115023</v>
      </c>
      <c r="R168" s="21"/>
      <c r="S168" s="21"/>
    </row>
    <row r="169" spans="1:19" s="48" customFormat="1" x14ac:dyDescent="0.2">
      <c r="A169" s="49">
        <v>8</v>
      </c>
      <c r="B169" s="53" t="s">
        <v>196</v>
      </c>
      <c r="C169" s="53">
        <v>5.670293689473032E-2</v>
      </c>
      <c r="D169" s="53">
        <v>0</v>
      </c>
      <c r="E169" s="53">
        <v>0</v>
      </c>
      <c r="F169" s="49">
        <v>7434864</v>
      </c>
      <c r="G169" s="49">
        <v>8</v>
      </c>
      <c r="H169" s="53" t="s">
        <v>106</v>
      </c>
      <c r="I169" s="53">
        <v>1.8752149284555597E-2</v>
      </c>
      <c r="J169" s="53">
        <v>0</v>
      </c>
      <c r="K169" s="53">
        <v>0</v>
      </c>
      <c r="L169" s="49">
        <v>2887140</v>
      </c>
      <c r="R169" s="21"/>
      <c r="S169" s="21"/>
    </row>
    <row r="170" spans="1:19" s="48" customFormat="1" x14ac:dyDescent="0.2">
      <c r="A170" s="49">
        <v>9</v>
      </c>
      <c r="B170" s="53" t="s">
        <v>106</v>
      </c>
      <c r="C170" s="53">
        <v>2.770355484042071E-2</v>
      </c>
      <c r="D170" s="53">
        <v>0</v>
      </c>
      <c r="E170" s="53">
        <v>0</v>
      </c>
      <c r="F170" s="49">
        <v>2887140</v>
      </c>
      <c r="G170" s="49">
        <v>9</v>
      </c>
      <c r="H170" s="53" t="s">
        <v>107</v>
      </c>
      <c r="I170" s="53">
        <v>0.85209560670902584</v>
      </c>
      <c r="J170" s="53">
        <v>0.23211610721705223</v>
      </c>
      <c r="K170" s="53">
        <v>0.46515464330257006</v>
      </c>
      <c r="L170" s="49">
        <v>5920853</v>
      </c>
      <c r="R170" s="21"/>
      <c r="S170" s="21"/>
    </row>
    <row r="171" spans="1:19" s="48" customFormat="1" x14ac:dyDescent="0.2">
      <c r="A171" s="49">
        <v>10</v>
      </c>
      <c r="B171" s="53" t="s">
        <v>107</v>
      </c>
      <c r="C171" s="53">
        <v>0.70675282122865313</v>
      </c>
      <c r="D171" s="53">
        <v>0.28782247129653882</v>
      </c>
      <c r="E171" s="53">
        <v>0.33581975888202131</v>
      </c>
      <c r="F171" s="49">
        <v>5920853</v>
      </c>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17DB2F33-46AC-4E0B-9F6A-EDA54E8EFDD4}">
      <formula1>$C$112:$C$113</formula1>
    </dataValidation>
  </dataValidations>
  <hyperlinks>
    <hyperlink ref="O1:P1" location="Home_page" display="Back to home page" xr:uid="{4282DE91-7837-4C34-8D4E-CA547F876010}"/>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D928111D-7C46-4455-AD6A-94F15F2B2F6C}">
          <x14:colorSeries rgb="FF323232"/>
          <x14:colorNegative rgb="FFD00000"/>
          <x14:colorAxis rgb="FF000000"/>
          <x14:colorMarkers rgb="FFD00000"/>
          <x14:colorFirst rgb="FFD00000"/>
          <x14:colorLast rgb="FFD00000"/>
          <x14:colorHigh rgb="FFD00000"/>
          <x14:colorLow rgb="FFD00000"/>
          <x14:sparklines>
            <x14:sparkline>
              <xm:f>'Area VIIb-k trawlers 10-24m'!D3:N3</xm:f>
              <xm:sqref>C3</xm:sqref>
            </x14:sparkline>
            <x14:sparkline>
              <xm:f>'Area VIIb-k trawlers 10-24m'!D4:N4</xm:f>
              <xm:sqref>C4</xm:sqref>
            </x14:sparkline>
            <x14:sparkline>
              <xm:f>'Area VIIb-k trawlers 10-24m'!D5:N5</xm:f>
              <xm:sqref>C5</xm:sqref>
            </x14:sparkline>
            <x14:sparkline>
              <xm:f>'Area VIIb-k trawlers 10-24m'!D6:N6</xm:f>
              <xm:sqref>C6</xm:sqref>
            </x14:sparkline>
            <x14:sparkline>
              <xm:f>'Area VIIb-k trawlers 10-24m'!D7:N7</xm:f>
              <xm:sqref>C7</xm:sqref>
            </x14:sparkline>
            <x14:sparkline>
              <xm:f>'Area VIIb-k trawlers 10-24m'!D8:N8</xm:f>
              <xm:sqref>C8</xm:sqref>
            </x14:sparkline>
            <x14:sparkline>
              <xm:f>'Area VIIb-k trawlers 10-24m'!D9:N9</xm:f>
              <xm:sqref>C9</xm:sqref>
            </x14:sparkline>
            <x14:sparkline>
              <xm:f>'Area VIIb-k trawlers 10-24m'!D10:N10</xm:f>
              <xm:sqref>C10</xm:sqref>
            </x14:sparkline>
            <x14:sparkline>
              <xm:f>'Area VIIb-k trawlers 10-24m'!D11:N11</xm:f>
              <xm:sqref>C11</xm:sqref>
            </x14:sparkline>
            <x14:sparkline>
              <xm:f>'Area VIIb-k trawlers 10-24m'!D12:N12</xm:f>
              <xm:sqref>C12</xm:sqref>
            </x14:sparkline>
            <x14:sparkline>
              <xm:f>'Area VIIb-k trawlers 10-24m'!D13:N13</xm:f>
              <xm:sqref>C13</xm:sqref>
            </x14:sparkline>
            <x14:sparkline>
              <xm:f>'Area VIIb-k trawlers 10-24m'!D14:N14</xm:f>
              <xm:sqref>C14</xm:sqref>
            </x14:sparkline>
            <x14:sparkline>
              <xm:f>'Area VIIb-k trawlers 10-24m'!D15:N15</xm:f>
              <xm:sqref>C15</xm:sqref>
            </x14:sparkline>
            <x14:sparkline>
              <xm:f>'Area VIIb-k trawlers 10-24m'!D16:N16</xm:f>
              <xm:sqref>C16</xm:sqref>
            </x14:sparkline>
            <x14:sparkline>
              <xm:f>'Area VIIb-k trawlers 10-24m'!D17:N17</xm:f>
              <xm:sqref>C17</xm:sqref>
            </x14:sparkline>
            <x14:sparkline>
              <xm:f>'Area VIIb-k trawlers 10-24m'!D18:N18</xm:f>
              <xm:sqref>C18</xm:sqref>
            </x14:sparkline>
            <x14:sparkline>
              <xm:f>'Area VIIb-k trawlers 10-24m'!D19:N19</xm:f>
              <xm:sqref>C19</xm:sqref>
            </x14:sparkline>
            <x14:sparkline>
              <xm:f>'Area VIIb-k trawlers 10-24m'!D20:N20</xm:f>
              <xm:sqref>C20</xm:sqref>
            </x14:sparkline>
            <x14:sparkline>
              <xm:f>'Area VIIb-k trawlers 10-24m'!D21:N21</xm:f>
              <xm:sqref>C21</xm:sqref>
            </x14:sparkline>
            <x14:sparkline>
              <xm:f>'Area VIIb-k trawlers 10-24m'!D22:N22</xm:f>
              <xm:sqref>C22</xm:sqref>
            </x14:sparkline>
            <x14:sparkline>
              <xm:f>'Area VIIb-k trawlers 10-24m'!D23:N23</xm:f>
              <xm:sqref>C23</xm:sqref>
            </x14:sparkline>
            <x14:sparkline>
              <xm:f>'Area VIIb-k trawlers 10-24m'!D24:N24</xm:f>
              <xm:sqref>C24</xm:sqref>
            </x14:sparkline>
            <x14:sparkline>
              <xm:f>'Area VIIb-k trawlers 10-24m'!D25:N25</xm:f>
              <xm:sqref>C25</xm:sqref>
            </x14:sparkline>
            <x14:sparkline>
              <xm:f>'Area VIIb-k trawlers 10-24m'!D26:N26</xm:f>
              <xm:sqref>C26</xm:sqref>
            </x14:sparkline>
            <x14:sparkline>
              <xm:f>'Area VIIb-k trawlers 10-24m'!D27:N27</xm:f>
              <xm:sqref>C27</xm:sqref>
            </x14:sparkline>
            <x14:sparkline>
              <xm:f>'Area VIIb-k trawlers 10-24m'!D28:N28</xm:f>
              <xm:sqref>C28</xm:sqref>
            </x14:sparkline>
            <x14:sparkline>
              <xm:f>'Area VIIb-k trawlers 10-24m'!D29:N29</xm:f>
              <xm:sqref>C29</xm:sqref>
            </x14:sparkline>
            <x14:sparkline>
              <xm:f>'Area VIIb-k trawlers 10-24m'!D30:N30</xm:f>
              <xm:sqref>C30</xm:sqref>
            </x14:sparkline>
            <x14:sparkline>
              <xm:f>'Area VIIb-k trawlers 10-24m'!D31:N31</xm:f>
              <xm:sqref>C31</xm:sqref>
            </x14:sparkline>
            <x14:sparkline>
              <xm:f>'Area VIIb-k trawlers 10-24m'!D32:N32</xm:f>
              <xm:sqref>C32</xm:sqref>
            </x14:sparkline>
            <x14:sparkline>
              <xm:f>'Area VIIb-k trawlers 10-24m'!D33:N33</xm:f>
              <xm:sqref>C33</xm:sqref>
            </x14:sparkline>
            <x14:sparkline>
              <xm:f>'Area VIIb-k trawlers 10-24m'!D34:N34</xm:f>
              <xm:sqref>C34</xm:sqref>
            </x14:sparkline>
            <x14:sparkline>
              <xm:f>'Area VIIb-k trawlers 10-24m'!D35:N35</xm:f>
              <xm:sqref>C35</xm:sqref>
            </x14:sparkline>
            <x14:sparkline>
              <xm:f>'Area VIIb-k trawlers 10-24m'!D36:N36</xm:f>
              <xm:sqref>C36</xm:sqref>
            </x14:sparkline>
            <x14:sparkline>
              <xm:f>'Area VIIb-k trawlers 10-24m'!D37:N37</xm:f>
              <xm:sqref>C37</xm:sqref>
            </x14:sparkline>
            <x14:sparkline>
              <xm:f>'Area VIIb-k trawlers 10-24m'!D38:N38</xm:f>
              <xm:sqref>C38</xm:sqref>
            </x14:sparkline>
            <x14:sparkline>
              <xm:f>'Area VIIb-k trawlers 10-24m'!D39:N39</xm:f>
              <xm:sqref>C39</xm:sqref>
            </x14:sparkline>
            <x14:sparkline>
              <xm:f>'Area VIIb-k trawlers 10-24m'!D40:N40</xm:f>
              <xm:sqref>C40</xm:sqref>
            </x14:sparkline>
            <x14:sparkline>
              <xm:f>'Area VIIb-k trawlers 10-24m'!D41:N41</xm:f>
              <xm:sqref>C41</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2866F-2CBC-46CC-8F3E-774DC28D87EB}">
  <sheetPr codeName="Feuil11">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197</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41</v>
      </c>
      <c r="E3" s="28">
        <v>40</v>
      </c>
      <c r="F3" s="28">
        <v>37</v>
      </c>
      <c r="G3" s="28">
        <v>36</v>
      </c>
      <c r="H3" s="28">
        <v>31</v>
      </c>
      <c r="I3" s="28">
        <v>30</v>
      </c>
      <c r="J3" s="28">
        <v>30</v>
      </c>
      <c r="K3" s="28">
        <v>26</v>
      </c>
      <c r="L3" s="28">
        <v>27</v>
      </c>
      <c r="M3" s="28">
        <v>26</v>
      </c>
      <c r="N3" s="28">
        <v>26</v>
      </c>
      <c r="O3" s="29">
        <f t="shared" ref="O3:O41" si="0">IF(N3=0,"",IFERROR(IF(AND(N3&gt;0,D3&lt;0),"na",IF(AND(N3&lt;0,D3&lt;0),-1,1)*(N3-D3)/D3),""))</f>
        <v>-0.36585365853658536</v>
      </c>
      <c r="P3" s="29">
        <f t="shared" ref="P3:P41" si="1">IF(N3=0,"",IFERROR(IF(AND(N3&gt;0,J3&lt;0),"na",IF(AND(N3&lt;0,J3&lt;0),-1,1)*(N3-J3)/J3),""))</f>
        <v>-0.13333333333333333</v>
      </c>
    </row>
    <row r="4" spans="1:17" ht="18" customHeight="1" x14ac:dyDescent="0.2">
      <c r="A4" s="193"/>
      <c r="B4" s="30" t="s">
        <v>55</v>
      </c>
      <c r="C4" s="31"/>
      <c r="D4" s="31">
        <v>11743</v>
      </c>
      <c r="E4" s="31">
        <v>12211</v>
      </c>
      <c r="F4" s="31">
        <v>11722</v>
      </c>
      <c r="G4" s="31">
        <v>11356</v>
      </c>
      <c r="H4" s="31">
        <v>10328</v>
      </c>
      <c r="I4" s="31">
        <v>9283</v>
      </c>
      <c r="J4" s="31">
        <v>8430</v>
      </c>
      <c r="K4" s="31">
        <v>7868</v>
      </c>
      <c r="L4" s="31">
        <v>8300</v>
      </c>
      <c r="M4" s="31">
        <v>8446</v>
      </c>
      <c r="N4" s="31">
        <v>8599</v>
      </c>
      <c r="O4" s="29">
        <f t="shared" si="0"/>
        <v>-0.26773396917312442</v>
      </c>
      <c r="P4" s="29">
        <f t="shared" si="1"/>
        <v>2.0047449584816131E-2</v>
      </c>
    </row>
    <row r="5" spans="1:17" ht="18" customHeight="1" x14ac:dyDescent="0.2">
      <c r="A5" s="193"/>
      <c r="B5" s="30" t="s">
        <v>56</v>
      </c>
      <c r="C5" s="31"/>
      <c r="D5" s="31">
        <v>4437</v>
      </c>
      <c r="E5" s="31">
        <v>4886</v>
      </c>
      <c r="F5" s="31">
        <v>4753</v>
      </c>
      <c r="G5" s="31">
        <v>4426</v>
      </c>
      <c r="H5" s="31">
        <v>4342</v>
      </c>
      <c r="I5" s="31">
        <v>3891</v>
      </c>
      <c r="J5" s="31">
        <v>3399</v>
      </c>
      <c r="K5" s="31">
        <v>3191</v>
      </c>
      <c r="L5" s="31">
        <v>3416</v>
      </c>
      <c r="M5" s="31">
        <v>3544</v>
      </c>
      <c r="N5" s="31">
        <v>3636</v>
      </c>
      <c r="O5" s="29">
        <f t="shared" si="0"/>
        <v>-0.18052738336713997</v>
      </c>
      <c r="P5" s="29">
        <f t="shared" si="1"/>
        <v>6.9726390114739634E-2</v>
      </c>
      <c r="Q5" s="32"/>
    </row>
    <row r="6" spans="1:17" ht="18" customHeight="1" x14ac:dyDescent="0.2">
      <c r="A6" s="193"/>
      <c r="B6" s="30" t="s">
        <v>57</v>
      </c>
      <c r="C6" s="31"/>
      <c r="D6" s="31">
        <v>10121.89453125</v>
      </c>
      <c r="E6" s="31">
        <v>10586.955078125</v>
      </c>
      <c r="F6" s="31">
        <v>10070.4033203125</v>
      </c>
      <c r="G6" s="31">
        <v>9688.744140625</v>
      </c>
      <c r="H6" s="31">
        <v>8973.2890625</v>
      </c>
      <c r="I6" s="31">
        <v>8074.69091796875</v>
      </c>
      <c r="J6" s="31">
        <v>7347.84619140625</v>
      </c>
      <c r="K6" s="31">
        <v>6782.00537109375</v>
      </c>
      <c r="L6" s="31">
        <v>7206.5537109375</v>
      </c>
      <c r="M6" s="31">
        <v>7271.75439453125</v>
      </c>
      <c r="N6" s="31">
        <v>7086.05615234375</v>
      </c>
      <c r="O6" s="29">
        <f t="shared" si="0"/>
        <v>-0.2999278810437615</v>
      </c>
      <c r="P6" s="29">
        <f t="shared" si="1"/>
        <v>-3.5628132685831024E-2</v>
      </c>
    </row>
    <row r="7" spans="1:17" ht="18" customHeight="1" x14ac:dyDescent="0.2">
      <c r="A7" s="193"/>
      <c r="B7" s="30" t="s">
        <v>58</v>
      </c>
      <c r="C7" s="31"/>
      <c r="D7" s="31">
        <v>7613.13330078125</v>
      </c>
      <c r="E7" s="31">
        <v>8921.115234375</v>
      </c>
      <c r="F7" s="31">
        <v>9466.8291015625</v>
      </c>
      <c r="G7" s="31">
        <v>8903.1083984375</v>
      </c>
      <c r="H7" s="31">
        <v>7702.2734375</v>
      </c>
      <c r="I7" s="31">
        <v>8023.09765625</v>
      </c>
      <c r="J7" s="31">
        <v>8105.48974609375</v>
      </c>
      <c r="K7" s="31">
        <v>8388.64453125</v>
      </c>
      <c r="L7" s="31">
        <v>8288.2509765625</v>
      </c>
      <c r="M7" s="31">
        <v>7805.611328125</v>
      </c>
      <c r="N7" s="31">
        <v>6912.58740234375</v>
      </c>
      <c r="O7" s="29">
        <f t="shared" si="0"/>
        <v>-9.2018078596576111E-2</v>
      </c>
      <c r="P7" s="29">
        <f t="shared" si="1"/>
        <v>-0.14717214889142155</v>
      </c>
    </row>
    <row r="8" spans="1:17" ht="18" customHeight="1" x14ac:dyDescent="0.2">
      <c r="A8" s="193"/>
      <c r="B8" s="30" t="s">
        <v>59</v>
      </c>
      <c r="C8" s="33"/>
      <c r="D8" s="33">
        <f ca="1">22.476608*OFFSET(D$112,MATCH($N$1,$C$112:$C$113,0)-1,0)</f>
        <v>22.476607999999999</v>
      </c>
      <c r="E8" s="33">
        <f ca="1">22.714786*OFFSET(E$112,MATCH($N$1,$C$112:$C$113,0)-1,0)</f>
        <v>22.714786</v>
      </c>
      <c r="F8" s="33">
        <f ca="1">20.49891*OFFSET(F$112,MATCH($N$1,$C$112:$C$113,0)-1,0)</f>
        <v>20.498909999999999</v>
      </c>
      <c r="G8" s="33">
        <f ca="1">21.793144*OFFSET(G$112,MATCH($N$1,$C$112:$C$113,0)-1,0)</f>
        <v>21.793144000000002</v>
      </c>
      <c r="H8" s="33">
        <f ca="1">19.040126*OFFSET(H$112,MATCH($N$1,$C$112:$C$113,0)-1,0)</f>
        <v>19.040126000000001</v>
      </c>
      <c r="I8" s="33">
        <f ca="1">20.019334*OFFSET(I$112,MATCH($N$1,$C$112:$C$113,0)-1,0)</f>
        <v>20.019334000000001</v>
      </c>
      <c r="J8" s="33">
        <f ca="1">16.243087*OFFSET(J$112,MATCH($N$1,$C$112:$C$113,0)-1,0)</f>
        <v>16.243086999999999</v>
      </c>
      <c r="K8" s="33">
        <f ca="1">15.580231*OFFSET(K$112,MATCH($N$1,$C$112:$C$113,0)-1,0)</f>
        <v>15.580230999999999</v>
      </c>
      <c r="L8" s="33">
        <f ca="1">20.962212*OFFSET(L$112,MATCH($N$1,$C$112:$C$113,0)-1,0)</f>
        <v>20.962212000000001</v>
      </c>
      <c r="M8" s="33">
        <f ca="1">13.5655*OFFSET(M$112,MATCH($N$1,$C$112:$C$113,0)-1,0)</f>
        <v>13.5655</v>
      </c>
      <c r="N8" s="33">
        <v>14.655621999999999</v>
      </c>
      <c r="O8" s="29">
        <f t="shared" ca="1" si="0"/>
        <v>-0.34796113363724634</v>
      </c>
      <c r="P8" s="29">
        <f t="shared" ca="1" si="1"/>
        <v>-9.7731730427842931E-2</v>
      </c>
    </row>
    <row r="9" spans="1:17" ht="18" customHeight="1" x14ac:dyDescent="0.2">
      <c r="A9" s="193"/>
      <c r="B9" s="30" t="s">
        <v>60</v>
      </c>
      <c r="C9" s="31"/>
      <c r="D9" s="31">
        <v>6757</v>
      </c>
      <c r="E9" s="31">
        <v>6395</v>
      </c>
      <c r="F9" s="31">
        <v>6179</v>
      </c>
      <c r="G9" s="31">
        <v>6089</v>
      </c>
      <c r="H9" s="31">
        <v>5498</v>
      </c>
      <c r="I9" s="31">
        <v>5250</v>
      </c>
      <c r="J9" s="31">
        <v>4803</v>
      </c>
      <c r="K9" s="31">
        <v>4447</v>
      </c>
      <c r="L9" s="31">
        <v>4514</v>
      </c>
      <c r="M9" s="31">
        <v>4162</v>
      </c>
      <c r="N9" s="31">
        <v>3965</v>
      </c>
      <c r="O9" s="29">
        <f t="shared" si="0"/>
        <v>-0.41320112475950865</v>
      </c>
      <c r="P9" s="29">
        <f t="shared" si="1"/>
        <v>-0.17447428690401831</v>
      </c>
    </row>
    <row r="10" spans="1:17" ht="18" customHeight="1" x14ac:dyDescent="0.2">
      <c r="A10" s="193"/>
      <c r="B10" s="30" t="s">
        <v>61</v>
      </c>
      <c r="C10" s="31"/>
      <c r="D10" s="31">
        <v>274.84603881835938</v>
      </c>
      <c r="E10" s="31">
        <v>295.69412231445313</v>
      </c>
      <c r="F10" s="31">
        <v>236.46197509765625</v>
      </c>
      <c r="G10" s="31">
        <v>367.80792236328125</v>
      </c>
      <c r="H10" s="31">
        <v>347.92440795898438</v>
      </c>
      <c r="I10" s="31">
        <v>335.52993774414063</v>
      </c>
      <c r="J10" s="31">
        <v>142.21221923828125</v>
      </c>
      <c r="K10" s="31">
        <v>219.53335571289063</v>
      </c>
      <c r="L10" s="31">
        <v>179.96023559570313</v>
      </c>
      <c r="M10" s="31">
        <v>173.99063110351563</v>
      </c>
      <c r="N10" s="31">
        <v>154.37446594238281</v>
      </c>
      <c r="O10" s="34">
        <f t="shared" si="0"/>
        <v>-0.43832384630288951</v>
      </c>
      <c r="P10" s="34">
        <f t="shared" si="1"/>
        <v>8.5521812184952389E-2</v>
      </c>
    </row>
    <row r="11" spans="1:17" ht="18" customHeight="1" x14ac:dyDescent="0.2">
      <c r="A11" s="194" t="s">
        <v>27</v>
      </c>
      <c r="B11" s="35" t="s">
        <v>62</v>
      </c>
      <c r="C11" s="36"/>
      <c r="D11" s="36">
        <v>19.333658218383789</v>
      </c>
      <c r="E11" s="36">
        <v>20.222999572753906</v>
      </c>
      <c r="F11" s="36">
        <v>20.446216583251953</v>
      </c>
      <c r="G11" s="36">
        <v>20.08305549621582</v>
      </c>
      <c r="H11" s="36">
        <v>21.139032363891602</v>
      </c>
      <c r="I11" s="36">
        <v>19.9913330078125</v>
      </c>
      <c r="J11" s="36">
        <v>19.017000198364258</v>
      </c>
      <c r="K11" s="36">
        <v>19.611537933349609</v>
      </c>
      <c r="L11" s="36">
        <v>19.843334197998047</v>
      </c>
      <c r="M11" s="36">
        <v>20.214614868164063</v>
      </c>
      <c r="N11" s="36">
        <v>20.349231719970703</v>
      </c>
      <c r="O11" s="29">
        <f t="shared" si="0"/>
        <v>5.2528781160579123E-2</v>
      </c>
      <c r="P11" s="29">
        <f t="shared" si="1"/>
        <v>7.0054767193042197E-2</v>
      </c>
    </row>
    <row r="12" spans="1:17" ht="18" customHeight="1" x14ac:dyDescent="0.2">
      <c r="A12" s="195"/>
      <c r="B12" s="37" t="s">
        <v>55</v>
      </c>
      <c r="C12" s="31"/>
      <c r="D12" s="31">
        <v>286.41464233398438</v>
      </c>
      <c r="E12" s="31">
        <v>305.27499389648438</v>
      </c>
      <c r="F12" s="31">
        <v>316.81082153320313</v>
      </c>
      <c r="G12" s="31">
        <v>315.4444580078125</v>
      </c>
      <c r="H12" s="31">
        <v>333.16128540039063</v>
      </c>
      <c r="I12" s="31">
        <v>309.43331909179688</v>
      </c>
      <c r="J12" s="31">
        <v>281</v>
      </c>
      <c r="K12" s="31">
        <v>302.61538696289063</v>
      </c>
      <c r="L12" s="31">
        <v>307.40740966796875</v>
      </c>
      <c r="M12" s="31">
        <v>324.84616088867188</v>
      </c>
      <c r="N12" s="31">
        <v>330.73077392578125</v>
      </c>
      <c r="O12" s="29">
        <f t="shared" si="0"/>
        <v>0.15472718584031195</v>
      </c>
      <c r="P12" s="29">
        <f t="shared" si="1"/>
        <v>0.17697784315224643</v>
      </c>
    </row>
    <row r="13" spans="1:17" ht="18" customHeight="1" x14ac:dyDescent="0.2">
      <c r="A13" s="195"/>
      <c r="B13" s="37" t="s">
        <v>56</v>
      </c>
      <c r="C13" s="31"/>
      <c r="D13" s="31">
        <v>108.21951293945313</v>
      </c>
      <c r="E13" s="31">
        <v>122.15000152587891</v>
      </c>
      <c r="F13" s="31">
        <v>128.45945739746094</v>
      </c>
      <c r="G13" s="31">
        <v>122.94444274902344</v>
      </c>
      <c r="H13" s="31">
        <v>140.06451416015625</v>
      </c>
      <c r="I13" s="31">
        <v>129.69999694824219</v>
      </c>
      <c r="J13" s="31">
        <v>113.30000305175781</v>
      </c>
      <c r="K13" s="31">
        <v>122.73076629638672</v>
      </c>
      <c r="L13" s="31">
        <v>126.51851654052734</v>
      </c>
      <c r="M13" s="31">
        <v>136.30769348144531</v>
      </c>
      <c r="N13" s="31">
        <v>139.84616088867188</v>
      </c>
      <c r="O13" s="29">
        <f t="shared" si="0"/>
        <v>0.29224533626309418</v>
      </c>
      <c r="P13" s="29">
        <f t="shared" si="1"/>
        <v>0.23429970981366366</v>
      </c>
    </row>
    <row r="14" spans="1:17" ht="18" customHeight="1" x14ac:dyDescent="0.2">
      <c r="A14" s="195"/>
      <c r="B14" s="37" t="s">
        <v>57</v>
      </c>
      <c r="C14" s="31"/>
      <c r="D14" s="31">
        <v>246.87547302246094</v>
      </c>
      <c r="E14" s="31">
        <v>264.67385864257813</v>
      </c>
      <c r="F14" s="31">
        <v>272.17306518554688</v>
      </c>
      <c r="G14" s="31">
        <v>269.13177490234375</v>
      </c>
      <c r="H14" s="31">
        <v>289.4609375</v>
      </c>
      <c r="I14" s="31">
        <v>269.1563720703125</v>
      </c>
      <c r="J14" s="31">
        <v>244.92820739746094</v>
      </c>
      <c r="K14" s="31">
        <v>260.84637451171875</v>
      </c>
      <c r="L14" s="31">
        <v>266.90939331054688</v>
      </c>
      <c r="M14" s="31">
        <v>279.682861328125</v>
      </c>
      <c r="N14" s="31">
        <v>283.44223022460938</v>
      </c>
      <c r="O14" s="29">
        <f t="shared" si="0"/>
        <v>0.14811822638541969</v>
      </c>
      <c r="P14" s="29">
        <f t="shared" si="1"/>
        <v>0.15724617117966011</v>
      </c>
    </row>
    <row r="15" spans="1:17" ht="18" customHeight="1" x14ac:dyDescent="0.2">
      <c r="A15" s="195"/>
      <c r="B15" s="37" t="s">
        <v>58</v>
      </c>
      <c r="C15" s="33"/>
      <c r="D15" s="33">
        <v>185.68618774414063</v>
      </c>
      <c r="E15" s="33">
        <v>223.02787780761719</v>
      </c>
      <c r="F15" s="33">
        <v>255.86026000976563</v>
      </c>
      <c r="G15" s="33">
        <v>247.30856323242188</v>
      </c>
      <c r="H15" s="33">
        <v>248.46043395996094</v>
      </c>
      <c r="I15" s="33">
        <v>267.43658447265625</v>
      </c>
      <c r="J15" s="33">
        <v>270.1829833984375</v>
      </c>
      <c r="K15" s="33">
        <v>322.64016723632813</v>
      </c>
      <c r="L15" s="33">
        <v>306.97225952148438</v>
      </c>
      <c r="M15" s="33">
        <v>300.2158203125</v>
      </c>
      <c r="N15" s="33">
        <v>265.86874389648438</v>
      </c>
      <c r="O15" s="29">
        <f t="shared" si="0"/>
        <v>0.43181755803414046</v>
      </c>
      <c r="P15" s="29">
        <f t="shared" si="1"/>
        <v>-1.5967843154618428E-2</v>
      </c>
    </row>
    <row r="16" spans="1:17" ht="18" customHeight="1" x14ac:dyDescent="0.2">
      <c r="A16" s="195"/>
      <c r="B16" s="37" t="s">
        <v>63</v>
      </c>
      <c r="C16" s="33"/>
      <c r="D16" s="33">
        <f ca="1">548.21*OFFSET(D$112,MATCH($N$1,$C$112:$C$113,0)-1,0)</f>
        <v>548.21</v>
      </c>
      <c r="E16" s="33">
        <f ca="1">567.869625*OFFSET(E$112,MATCH($N$1,$C$112:$C$113,0)-1,0)</f>
        <v>567.86962500000004</v>
      </c>
      <c r="F16" s="33">
        <f ca="1">554.0245625*OFFSET(F$112,MATCH($N$1,$C$112:$C$113,0)-1,0)</f>
        <v>554.0245625</v>
      </c>
      <c r="G16" s="33">
        <f ca="1">605.365125*OFFSET(G$112,MATCH($N$1,$C$112:$C$113,0)-1,0)</f>
        <v>605.36512500000003</v>
      </c>
      <c r="H16" s="33">
        <f ca="1">614.197625*OFFSET(H$112,MATCH($N$1,$C$112:$C$113,0)-1,0)</f>
        <v>614.19762500000002</v>
      </c>
      <c r="I16" s="33">
        <f ca="1">667.311125*OFFSET(I$112,MATCH($N$1,$C$112:$C$113,0)-1,0)</f>
        <v>667.31112499999995</v>
      </c>
      <c r="J16" s="33">
        <f ca="1">541.43625*OFFSET(J$112,MATCH($N$1,$C$112:$C$113,0)-1,0)</f>
        <v>541.43624999999997</v>
      </c>
      <c r="K16" s="33">
        <f ca="1">599.2396875*OFFSET(K$112,MATCH($N$1,$C$112:$C$113,0)-1,0)</f>
        <v>599.23968749999995</v>
      </c>
      <c r="L16" s="33">
        <f ca="1">776.37825*OFFSET(L$112,MATCH($N$1,$C$112:$C$113,0)-1,0)</f>
        <v>776.37824999999998</v>
      </c>
      <c r="M16" s="33">
        <f ca="1">521.75*OFFSET(M$112,MATCH($N$1,$C$112:$C$113,0)-1,0)</f>
        <v>521.75</v>
      </c>
      <c r="N16" s="33">
        <v>563.67775000000006</v>
      </c>
      <c r="O16" s="29">
        <f t="shared" ca="1" si="0"/>
        <v>2.821500884697474E-2</v>
      </c>
      <c r="P16" s="29">
        <f t="shared" ca="1" si="1"/>
        <v>4.107870501836567E-2</v>
      </c>
    </row>
    <row r="17" spans="1:16" ht="18" customHeight="1" x14ac:dyDescent="0.2">
      <c r="A17" s="195"/>
      <c r="B17" s="37" t="s">
        <v>60</v>
      </c>
      <c r="C17" s="31"/>
      <c r="D17" s="31">
        <v>164.80487060546875</v>
      </c>
      <c r="E17" s="31">
        <v>159.875</v>
      </c>
      <c r="F17" s="31">
        <v>167</v>
      </c>
      <c r="G17" s="31">
        <v>169.13888549804688</v>
      </c>
      <c r="H17" s="31">
        <v>177.35484313964844</v>
      </c>
      <c r="I17" s="31">
        <v>175</v>
      </c>
      <c r="J17" s="31">
        <v>160.10000610351563</v>
      </c>
      <c r="K17" s="31">
        <v>171.03846740722656</v>
      </c>
      <c r="L17" s="31">
        <v>167.1851806640625</v>
      </c>
      <c r="M17" s="31">
        <v>160.07691955566406</v>
      </c>
      <c r="N17" s="31">
        <v>152.5</v>
      </c>
      <c r="O17" s="29">
        <f t="shared" si="0"/>
        <v>-7.4663270328494985E-2</v>
      </c>
      <c r="P17" s="29">
        <f t="shared" si="1"/>
        <v>-4.7470367356524025E-2</v>
      </c>
    </row>
    <row r="18" spans="1:16" ht="18" customHeight="1" x14ac:dyDescent="0.2">
      <c r="A18" s="195"/>
      <c r="B18" s="37" t="s">
        <v>64</v>
      </c>
      <c r="C18" s="31"/>
      <c r="D18" s="31">
        <v>29.317073822021484</v>
      </c>
      <c r="E18" s="31">
        <v>30.049999237060547</v>
      </c>
      <c r="F18" s="31">
        <v>30.837837219238281</v>
      </c>
      <c r="G18" s="31">
        <v>30.166666030883789</v>
      </c>
      <c r="H18" s="31">
        <v>31.677419662475586</v>
      </c>
      <c r="I18" s="31">
        <v>32.566665649414063</v>
      </c>
      <c r="J18" s="31">
        <v>34.299999237060547</v>
      </c>
      <c r="K18" s="31">
        <v>34.769229888916016</v>
      </c>
      <c r="L18" s="31">
        <v>34.814815521240234</v>
      </c>
      <c r="M18" s="31">
        <v>35.192306518554688</v>
      </c>
      <c r="N18" s="31">
        <v>37</v>
      </c>
      <c r="O18" s="29">
        <f t="shared" si="0"/>
        <v>0.26206319991620358</v>
      </c>
      <c r="P18" s="29">
        <f t="shared" si="1"/>
        <v>7.8717225160231191E-2</v>
      </c>
    </row>
    <row r="19" spans="1:16" ht="18" customHeight="1" x14ac:dyDescent="0.2">
      <c r="A19" s="195"/>
      <c r="B19" s="37" t="s">
        <v>65</v>
      </c>
      <c r="C19" s="38"/>
      <c r="D19" s="38">
        <v>1.1267032623291016</v>
      </c>
      <c r="E19" s="38">
        <v>1.3950140476226807</v>
      </c>
      <c r="F19" s="38">
        <v>1.532097339630127</v>
      </c>
      <c r="G19" s="38">
        <v>1.4621626138687134</v>
      </c>
      <c r="H19" s="38">
        <v>1.4009227752685547</v>
      </c>
      <c r="I19" s="38">
        <v>1.5282090902328491</v>
      </c>
      <c r="J19" s="38">
        <v>1.6875888109207153</v>
      </c>
      <c r="K19" s="38">
        <v>1.8863602876663208</v>
      </c>
      <c r="L19" s="38">
        <v>1.8361212015151978</v>
      </c>
      <c r="M19" s="38">
        <v>1.8754472732543945</v>
      </c>
      <c r="N19" s="38">
        <v>1.7434016466140747</v>
      </c>
      <c r="O19" s="29">
        <f t="shared" si="0"/>
        <v>0.54734765124416596</v>
      </c>
      <c r="P19" s="29">
        <f t="shared" si="1"/>
        <v>3.3072532439290696E-2</v>
      </c>
    </row>
    <row r="20" spans="1:16" ht="18" customHeight="1" x14ac:dyDescent="0.2">
      <c r="A20" s="196"/>
      <c r="B20" s="39" t="s">
        <v>28</v>
      </c>
      <c r="C20" s="40"/>
      <c r="D20" s="40">
        <f ca="1">2952*OFFSET(D$112,MATCH($N$1,$C$112:$C$113,0)-1,0)</f>
        <v>2952</v>
      </c>
      <c r="E20" s="40">
        <f ca="1">2546*OFFSET(E$112,MATCH($N$1,$C$112:$C$113,0)-1,0)</f>
        <v>2546</v>
      </c>
      <c r="F20" s="40">
        <f ca="1">2165*OFFSET(F$112,MATCH($N$1,$C$112:$C$113,0)-1,0)</f>
        <v>2165</v>
      </c>
      <c r="G20" s="40">
        <f ca="1">2448*OFFSET(G$112,MATCH($N$1,$C$112:$C$113,0)-1,0)</f>
        <v>2448</v>
      </c>
      <c r="H20" s="40">
        <f ca="1">2472*OFFSET(H$112,MATCH($N$1,$C$112:$C$113,0)-1,0)</f>
        <v>2472</v>
      </c>
      <c r="I20" s="40">
        <f ca="1">2495*OFFSET(I$112,MATCH($N$1,$C$112:$C$113,0)-1,0)</f>
        <v>2495</v>
      </c>
      <c r="J20" s="40">
        <f ca="1">2004*OFFSET(J$112,MATCH($N$1,$C$112:$C$113,0)-1,0)</f>
        <v>2004</v>
      </c>
      <c r="K20" s="40">
        <f ca="1">1857*OFFSET(K$112,MATCH($N$1,$C$112:$C$113,0)-1,0)</f>
        <v>1857</v>
      </c>
      <c r="L20" s="40">
        <f ca="1">2529*OFFSET(L$112,MATCH($N$1,$C$112:$C$113,0)-1,0)</f>
        <v>2529</v>
      </c>
      <c r="M20" s="40">
        <f ca="1">1738*OFFSET(M$112,MATCH($N$1,$C$112:$C$113,0)-1,0)</f>
        <v>1738</v>
      </c>
      <c r="N20" s="40">
        <v>2120</v>
      </c>
      <c r="O20" s="34">
        <f t="shared" ca="1" si="0"/>
        <v>-0.28184281842818426</v>
      </c>
      <c r="P20" s="34">
        <f t="shared" ca="1" si="1"/>
        <v>5.7884231536926151E-2</v>
      </c>
    </row>
    <row r="21" spans="1:16" ht="18" customHeight="1" x14ac:dyDescent="0.2">
      <c r="A21" s="197" t="s">
        <v>29</v>
      </c>
      <c r="B21" s="35" t="s">
        <v>66</v>
      </c>
      <c r="C21" s="41"/>
      <c r="D21" s="41">
        <v>3.1100025314419253</v>
      </c>
      <c r="E21" s="41">
        <v>3.7437948670724865</v>
      </c>
      <c r="F21" s="41">
        <v>3.8668642969403821</v>
      </c>
      <c r="G21" s="41">
        <v>3.8573823137558154</v>
      </c>
      <c r="H21" s="41">
        <v>3.5905692295931111</v>
      </c>
      <c r="I21" s="41">
        <v>4.0660049621417915</v>
      </c>
      <c r="J21" s="41">
        <v>4.7682826519038253</v>
      </c>
      <c r="K21" s="41">
        <v>5.1236090623234993</v>
      </c>
      <c r="L21" s="41">
        <v>5.0820043550347087</v>
      </c>
      <c r="M21" s="41">
        <v>4.661889602591506</v>
      </c>
      <c r="N21" s="41">
        <v>4.6428601546605961</v>
      </c>
      <c r="O21" s="29">
        <f t="shared" si="0"/>
        <v>0.49287986351187146</v>
      </c>
      <c r="P21" s="29">
        <f t="shared" si="1"/>
        <v>-2.6303494654024321E-2</v>
      </c>
    </row>
    <row r="22" spans="1:16" ht="18" customHeight="1" x14ac:dyDescent="0.2">
      <c r="A22" s="197"/>
      <c r="B22" s="37" t="s">
        <v>67</v>
      </c>
      <c r="C22" s="38"/>
      <c r="D22" s="38">
        <f ca="1">9.18180565003052*OFFSET(D$112,MATCH($N$1,$C$112:$C$113,0)-1,0)</f>
        <v>9.1818056500305207</v>
      </c>
      <c r="E22" s="38">
        <f ca="1">9.53238405951764*OFFSET(E$112,MATCH($N$1,$C$112:$C$113,0)-1,0)</f>
        <v>9.5323840595176392</v>
      </c>
      <c r="F22" s="38">
        <f ca="1">8.37307755521509*OFFSET(F$112,MATCH($N$1,$C$112:$C$113,0)-1,0)</f>
        <v>8.3730775552150902</v>
      </c>
      <c r="G22" s="38">
        <f ca="1">9.44215071252917*OFFSET(G$112,MATCH($N$1,$C$112:$C$113,0)-1,0)</f>
        <v>9.4421507125291697</v>
      </c>
      <c r="H22" s="38">
        <f ca="1">8.87593673594546*OFFSET(H$112,MATCH($N$1,$C$112:$C$113,0)-1,0)</f>
        <v>8.8759367359454604</v>
      </c>
      <c r="I22" s="38">
        <f ca="1">10.145546656949*OFFSET(I$112,MATCH($N$1,$C$112:$C$113,0)-1,0)</f>
        <v>10.145546656949</v>
      </c>
      <c r="J22" s="38">
        <f ca="1">9.55545403160943*OFFSET(J$112,MATCH($N$1,$C$112:$C$113,0)-1,0)</f>
        <v>9.5554540316094307</v>
      </c>
      <c r="K22" s="38">
        <f ca="1">9.51608077716493*OFFSET(K$112,MATCH($N$1,$C$112:$C$113,0)-1,0)</f>
        <v>9.5160807771649303</v>
      </c>
      <c r="L22" s="38">
        <f ca="1">12.8531407163783*OFFSET(L$112,MATCH($N$1,$C$112:$C$113,0)-1,0)</f>
        <v>12.8531407163783</v>
      </c>
      <c r="M22" s="38">
        <f ca="1">8.10197443166137*OFFSET(M$112,MATCH($N$1,$C$112:$C$113,0)-1,0)</f>
        <v>8.10197443166137</v>
      </c>
      <c r="N22" s="38">
        <v>9.8434924210673369</v>
      </c>
      <c r="O22" s="29">
        <f t="shared" ca="1" si="0"/>
        <v>7.2064994213269659E-2</v>
      </c>
      <c r="P22" s="29">
        <f t="shared" ca="1" si="1"/>
        <v>3.014387265168934E-2</v>
      </c>
    </row>
    <row r="23" spans="1:16" ht="18" customHeight="1" x14ac:dyDescent="0.2">
      <c r="A23" s="197"/>
      <c r="B23" s="37" t="s">
        <v>11</v>
      </c>
      <c r="C23" s="38"/>
      <c r="D23" s="38">
        <f ca="1">8.55630813518862*OFFSET(D$112,MATCH($N$1,$C$112:$C$113,0)-1,0)</f>
        <v>8.5563081351886208</v>
      </c>
      <c r="E23" s="38">
        <f ca="1">7.27864737169443*OFFSET(E$112,MATCH($N$1,$C$112:$C$113,0)-1,0)</f>
        <v>7.2786473716944302</v>
      </c>
      <c r="F23" s="38">
        <f ca="1">7.42392528700889*OFFSET(F$112,MATCH($N$1,$C$112:$C$113,0)-1,0)</f>
        <v>7.4239252870088901</v>
      </c>
      <c r="G23" s="38">
        <f ca="1">7.30711538492002*OFFSET(G$112,MATCH($N$1,$C$112:$C$113,0)-1,0)</f>
        <v>7.3071153849200199</v>
      </c>
      <c r="H23" s="38">
        <f ca="1">6.65516923116525*OFFSET(H$112,MATCH($N$1,$C$112:$C$113,0)-1,0)</f>
        <v>6.6551692311652504</v>
      </c>
      <c r="I23" s="38">
        <f ca="1">8.06648141645401*OFFSET(I$112,MATCH($N$1,$C$112:$C$113,0)-1,0)</f>
        <v>8.0664814164540104</v>
      </c>
      <c r="J23" s="38">
        <f ca="1">8.31478555123056*OFFSET(J$112,MATCH($N$1,$C$112:$C$113,0)-1,0)</f>
        <v>8.3147855512305604</v>
      </c>
      <c r="K23" s="38">
        <f ca="1">8.49199362579725*OFFSET(K$112,MATCH($N$1,$C$112:$C$113,0)-1,0)</f>
        <v>8.4919936257972495</v>
      </c>
      <c r="L23" s="38">
        <f ca="1">11.1785833008802*OFFSET(L$112,MATCH($N$1,$C$112:$C$113,0)-1,0)</f>
        <v>11.1785833008802</v>
      </c>
      <c r="M23" s="38">
        <f ca="1">7.38070213725*OFFSET(M$112,MATCH($N$1,$C$112:$C$113,0)-1,0)</f>
        <v>7.3807021372500001</v>
      </c>
      <c r="N23" s="38">
        <v>8.8668749785104346</v>
      </c>
      <c r="O23" s="29">
        <f t="shared" ca="1" si="0"/>
        <v>3.6296827839167982E-2</v>
      </c>
      <c r="P23" s="29">
        <f t="shared" ca="1" si="1"/>
        <v>6.6398516699948659E-2</v>
      </c>
    </row>
    <row r="24" spans="1:16" ht="18" customHeight="1" x14ac:dyDescent="0.2">
      <c r="A24" s="197"/>
      <c r="B24" s="37" t="s">
        <v>12</v>
      </c>
      <c r="C24" s="38"/>
      <c r="D24" s="38">
        <f ca="1">0.632501692698358*OFFSET(D$112,MATCH($N$1,$C$112:$C$113,0)-1,0)</f>
        <v>0.63250169269835799</v>
      </c>
      <c r="E24" s="38">
        <f ca="1">2.2537366878232*OFFSET(E$112,MATCH($N$1,$C$112:$C$113,0)-1,0)</f>
        <v>2.2537366878232001</v>
      </c>
      <c r="F24" s="38">
        <f ca="1">0.949152268206197*OFFSET(F$112,MATCH($N$1,$C$112:$C$113,0)-1,0)</f>
        <v>0.94915226820619703</v>
      </c>
      <c r="G24" s="38">
        <f ca="1">2.52390924186535*OFFSET(G$112,MATCH($N$1,$C$112:$C$113,0)-1,0)</f>
        <v>2.5239092418653502</v>
      </c>
      <c r="H24" s="38">
        <f ca="1">3.03391803780633*OFFSET(H$112,MATCH($N$1,$C$112:$C$113,0)-1,0)</f>
        <v>3.03391803780633</v>
      </c>
      <c r="I24" s="38">
        <f ca="1">2.07931920077405*OFFSET(I$112,MATCH($N$1,$C$112:$C$113,0)-1,0)</f>
        <v>2.0793192007740502</v>
      </c>
      <c r="J24" s="38">
        <f ca="1">1.29784140741695*OFFSET(J$112,MATCH($N$1,$C$112:$C$113,0)-1,0)</f>
        <v>1.29784140741695</v>
      </c>
      <c r="K24" s="38">
        <f ca="1">1.02415318990028*OFFSET(K$112,MATCH($N$1,$C$112:$C$113,0)-1,0)</f>
        <v>1.02415318990028</v>
      </c>
      <c r="L24" s="38">
        <f ca="1">1.67463606082686*OFFSET(L$112,MATCH($N$1,$C$112:$C$113,0)-1,0)</f>
        <v>1.67463606082686</v>
      </c>
      <c r="M24" s="38">
        <f ca="1">0.820910382704983*OFFSET(M$112,MATCH($N$1,$C$112:$C$113,0)-1,0)</f>
        <v>0.82091038270498295</v>
      </c>
      <c r="N24" s="38">
        <v>0.976628463672639</v>
      </c>
      <c r="O24" s="29">
        <f t="shared" ca="1" si="0"/>
        <v>0.54407249015600045</v>
      </c>
      <c r="P24" s="29">
        <f t="shared" ca="1" si="1"/>
        <v>-0.2474978390338233</v>
      </c>
    </row>
    <row r="25" spans="1:16" ht="18" customHeight="1" x14ac:dyDescent="0.2">
      <c r="A25" s="197"/>
      <c r="B25" s="37" t="s">
        <v>68</v>
      </c>
      <c r="C25" s="33"/>
      <c r="D25" s="33">
        <f ca="1">81.78*OFFSET(D$112,MATCH($N$1,$C$112:$C$113,0)-1,0)</f>
        <v>81.78</v>
      </c>
      <c r="E25" s="33">
        <f ca="1">76.82*OFFSET(E$112,MATCH($N$1,$C$112:$C$113,0)-1,0)</f>
        <v>76.819999999999993</v>
      </c>
      <c r="F25" s="33">
        <f ca="1">86.69*OFFSET(F$112,MATCH($N$1,$C$112:$C$113,0)-1,0)</f>
        <v>86.69</v>
      </c>
      <c r="G25" s="33">
        <f ca="1">59.25*OFFSET(G$112,MATCH($N$1,$C$112:$C$113,0)-1,0)</f>
        <v>59.25</v>
      </c>
      <c r="H25" s="33">
        <f ca="1">54.73*OFFSET(H$112,MATCH($N$1,$C$112:$C$113,0)-1,0)</f>
        <v>54.73</v>
      </c>
      <c r="I25" s="33">
        <f ca="1">59.66*OFFSET(I$112,MATCH($N$1,$C$112:$C$113,0)-1,0)</f>
        <v>59.66</v>
      </c>
      <c r="J25" s="33">
        <f ca="1">114.21*OFFSET(J$112,MATCH($N$1,$C$112:$C$113,0)-1,0)</f>
        <v>114.21</v>
      </c>
      <c r="K25" s="33">
        <f ca="1">70.97*OFFSET(K$112,MATCH($N$1,$C$112:$C$113,0)-1,0)</f>
        <v>70.97</v>
      </c>
      <c r="L25" s="33">
        <f ca="1">116.49*OFFSET(L$112,MATCH($N$1,$C$112:$C$113,0)-1,0)</f>
        <v>116.49</v>
      </c>
      <c r="M25" s="33">
        <f ca="1">77.97*OFFSET(M$112,MATCH($N$1,$C$112:$C$113,0)-1,0)</f>
        <v>77.97</v>
      </c>
      <c r="N25" s="33">
        <v>94.94</v>
      </c>
      <c r="O25" s="29">
        <f t="shared" ca="1" si="0"/>
        <v>0.160919540229885</v>
      </c>
      <c r="P25" s="29">
        <f t="shared" ca="1" si="1"/>
        <v>-0.16872427983539093</v>
      </c>
    </row>
    <row r="26" spans="1:16" ht="18" customHeight="1" x14ac:dyDescent="0.2">
      <c r="A26" s="198"/>
      <c r="B26" s="37" t="s">
        <v>69</v>
      </c>
      <c r="C26" s="33"/>
      <c r="D26" s="33">
        <f ca="1">5.64*OFFSET(D$112,MATCH($N$1,$C$112:$C$113,0)-1,0)</f>
        <v>5.64</v>
      </c>
      <c r="E26" s="33">
        <f ca="1">18.17*OFFSET(E$112,MATCH($N$1,$C$112:$C$113,0)-1,0)</f>
        <v>18.170000000000002</v>
      </c>
      <c r="F26" s="33">
        <f ca="1">9.83*OFFSET(F$112,MATCH($N$1,$C$112:$C$113,0)-1,0)</f>
        <v>9.83</v>
      </c>
      <c r="G26" s="33">
        <f ca="1">15.84*OFFSET(G$112,MATCH($N$1,$C$112:$C$113,0)-1,0)</f>
        <v>15.84</v>
      </c>
      <c r="H26" s="33">
        <f ca="1">18.7*OFFSET(H$112,MATCH($N$1,$C$112:$C$113,0)-1,0)</f>
        <v>18.7</v>
      </c>
      <c r="I26" s="33">
        <f ca="1">12.23*OFFSET(I$112,MATCH($N$1,$C$112:$C$113,0)-1,0)</f>
        <v>12.23</v>
      </c>
      <c r="J26" s="33">
        <f ca="1">15.5*OFFSET(J$112,MATCH($N$1,$C$112:$C$113,0)-1,0)</f>
        <v>15.5</v>
      </c>
      <c r="K26" s="33">
        <f ca="1">7.64*OFFSET(K$112,MATCH($N$1,$C$112:$C$113,0)-1,0)</f>
        <v>7.64</v>
      </c>
      <c r="L26" s="33">
        <f ca="1">15.18*OFFSET(L$112,MATCH($N$1,$C$112:$C$113,0)-1,0)</f>
        <v>15.18</v>
      </c>
      <c r="M26" s="33">
        <f ca="1">7.91*OFFSET(M$112,MATCH($N$1,$C$112:$C$113,0)-1,0)</f>
        <v>7.91</v>
      </c>
      <c r="N26" s="33">
        <v>9.41</v>
      </c>
      <c r="O26" s="34">
        <f t="shared" ca="1" si="0"/>
        <v>0.6684397163120569</v>
      </c>
      <c r="P26" s="34">
        <f t="shared" ca="1" si="1"/>
        <v>-0.39290322580645159</v>
      </c>
    </row>
    <row r="27" spans="1:16" ht="18" customHeight="1" x14ac:dyDescent="0.2">
      <c r="A27" s="187" t="s">
        <v>30</v>
      </c>
      <c r="B27" s="35" t="s">
        <v>63</v>
      </c>
      <c r="C27" s="36"/>
      <c r="D27" s="36">
        <f ca="1">548.2*OFFSET(D$112,MATCH($N$1,$C$112:$C$113,0)-1,0)</f>
        <v>548.20000000000005</v>
      </c>
      <c r="E27" s="36">
        <f ca="1">567.9*OFFSET(E$112,MATCH($N$1,$C$112:$C$113,0)-1,0)</f>
        <v>567.9</v>
      </c>
      <c r="F27" s="36">
        <f ca="1">554*OFFSET(F$112,MATCH($N$1,$C$112:$C$113,0)-1,0)</f>
        <v>554</v>
      </c>
      <c r="G27" s="36">
        <f ca="1">605.4*OFFSET(G$112,MATCH($N$1,$C$112:$C$113,0)-1,0)</f>
        <v>605.4</v>
      </c>
      <c r="H27" s="36">
        <f ca="1">614.2*OFFSET(H$112,MATCH($N$1,$C$112:$C$113,0)-1,0)</f>
        <v>614.20000000000005</v>
      </c>
      <c r="I27" s="36">
        <f ca="1">667.3*OFFSET(I$112,MATCH($N$1,$C$112:$C$113,0)-1,0)</f>
        <v>667.3</v>
      </c>
      <c r="J27" s="36">
        <f ca="1">541.4*OFFSET(J$112,MATCH($N$1,$C$112:$C$113,0)-1,0)</f>
        <v>541.4</v>
      </c>
      <c r="K27" s="36">
        <f ca="1">599.2*OFFSET(K$112,MATCH($N$1,$C$112:$C$113,0)-1,0)</f>
        <v>599.20000000000005</v>
      </c>
      <c r="L27" s="36">
        <f ca="1">776.4*OFFSET(L$112,MATCH($N$1,$C$112:$C$113,0)-1,0)</f>
        <v>776.4</v>
      </c>
      <c r="M27" s="36">
        <f ca="1">521.8*OFFSET(M$112,MATCH($N$1,$C$112:$C$113,0)-1,0)</f>
        <v>521.79999999999995</v>
      </c>
      <c r="N27" s="36">
        <v>563.70000000000005</v>
      </c>
      <c r="O27" s="29">
        <f t="shared" ca="1" si="0"/>
        <v>2.8274352426121852E-2</v>
      </c>
      <c r="P27" s="29">
        <f t="shared" ca="1" si="1"/>
        <v>4.1189508681197022E-2</v>
      </c>
    </row>
    <row r="28" spans="1:16" ht="18" customHeight="1" x14ac:dyDescent="0.2">
      <c r="A28" s="199"/>
      <c r="B28" s="37" t="s">
        <v>70</v>
      </c>
      <c r="C28" s="33"/>
      <c r="D28" s="33">
        <f ca="1">0.4*OFFSET(D$112,MATCH($N$1,$C$112:$C$113,0)-1,0)</f>
        <v>0.4</v>
      </c>
      <c r="E28" s="33"/>
      <c r="F28" s="33"/>
      <c r="G28" s="33">
        <f ca="1">24.9*OFFSET(G$112,MATCH($N$1,$C$112:$C$113,0)-1,0)</f>
        <v>24.9</v>
      </c>
      <c r="H28" s="33">
        <f ca="1">56.3*OFFSET(H$112,MATCH($N$1,$C$112:$C$113,0)-1,0)</f>
        <v>56.3</v>
      </c>
      <c r="I28" s="33"/>
      <c r="J28" s="33">
        <f ca="1">3.2*OFFSET(J$112,MATCH($N$1,$C$112:$C$113,0)-1,0)</f>
        <v>3.2</v>
      </c>
      <c r="K28" s="33"/>
      <c r="L28" s="33"/>
      <c r="M28" s="33">
        <f ca="1">6.4*OFFSET(M$112,MATCH($N$1,$C$112:$C$113,0)-1,0)</f>
        <v>6.4</v>
      </c>
      <c r="N28" s="33"/>
      <c r="O28" s="29" t="str">
        <f t="shared" si="0"/>
        <v/>
      </c>
      <c r="P28" s="29" t="str">
        <f t="shared" si="1"/>
        <v/>
      </c>
    </row>
    <row r="29" spans="1:16" ht="18" customHeight="1" x14ac:dyDescent="0.2">
      <c r="A29" s="199"/>
      <c r="B29" s="42" t="s">
        <v>71</v>
      </c>
      <c r="C29" s="43"/>
      <c r="D29" s="43">
        <f ca="1">548.6*OFFSET(D$112,MATCH($N$1,$C$112:$C$113,0)-1,0)</f>
        <v>548.6</v>
      </c>
      <c r="E29" s="43">
        <f ca="1">567.9*OFFSET(E$112,MATCH($N$1,$C$112:$C$113,0)-1,0)</f>
        <v>567.9</v>
      </c>
      <c r="F29" s="43">
        <f ca="1">554*OFFSET(F$112,MATCH($N$1,$C$112:$C$113,0)-1,0)</f>
        <v>554</v>
      </c>
      <c r="G29" s="43">
        <f ca="1">630.3*OFFSET(G$112,MATCH($N$1,$C$112:$C$113,0)-1,0)</f>
        <v>630.29999999999995</v>
      </c>
      <c r="H29" s="43">
        <f ca="1">670.5*OFFSET(H$112,MATCH($N$1,$C$112:$C$113,0)-1,0)</f>
        <v>670.5</v>
      </c>
      <c r="I29" s="43">
        <f ca="1">667.3*OFFSET(I$112,MATCH($N$1,$C$112:$C$113,0)-1,0)</f>
        <v>667.3</v>
      </c>
      <c r="J29" s="43">
        <f ca="1">544.7*OFFSET(J$112,MATCH($N$1,$C$112:$C$113,0)-1,0)</f>
        <v>544.70000000000005</v>
      </c>
      <c r="K29" s="43">
        <f ca="1">599.2*OFFSET(K$112,MATCH($N$1,$C$112:$C$113,0)-1,0)</f>
        <v>599.20000000000005</v>
      </c>
      <c r="L29" s="43">
        <f ca="1">776.4*OFFSET(L$112,MATCH($N$1,$C$112:$C$113,0)-1,0)</f>
        <v>776.4</v>
      </c>
      <c r="M29" s="43">
        <f ca="1">528.2*OFFSET(M$112,MATCH($N$1,$C$112:$C$113,0)-1,0)</f>
        <v>528.20000000000005</v>
      </c>
      <c r="N29" s="43">
        <v>563.70000000000005</v>
      </c>
      <c r="O29" s="29">
        <f t="shared" ca="1" si="0"/>
        <v>2.7524608093328514E-2</v>
      </c>
      <c r="P29" s="29">
        <f t="shared" ca="1" si="1"/>
        <v>3.4881586194235356E-2</v>
      </c>
    </row>
    <row r="30" spans="1:16" ht="18" customHeight="1" x14ac:dyDescent="0.2">
      <c r="A30" s="199"/>
      <c r="B30" s="37" t="s">
        <v>72</v>
      </c>
      <c r="C30" s="33"/>
      <c r="D30" s="33">
        <f ca="1">52.5*OFFSET(D$112,MATCH($N$1,$C$112:$C$113,0)-1,0)</f>
        <v>52.5</v>
      </c>
      <c r="E30" s="33">
        <f ca="1">52.4*OFFSET(E$112,MATCH($N$1,$C$112:$C$113,0)-1,0)</f>
        <v>52.4</v>
      </c>
      <c r="F30" s="33">
        <f ca="1">53.9*OFFSET(F$112,MATCH($N$1,$C$112:$C$113,0)-1,0)</f>
        <v>53.9</v>
      </c>
      <c r="G30" s="33">
        <f ca="1">49.2*OFFSET(G$112,MATCH($N$1,$C$112:$C$113,0)-1,0)</f>
        <v>49.2</v>
      </c>
      <c r="H30" s="33">
        <f ca="1">37.4*OFFSET(H$112,MATCH($N$1,$C$112:$C$113,0)-1,0)</f>
        <v>37.4</v>
      </c>
      <c r="I30" s="33">
        <f ca="1">33.8*OFFSET(I$112,MATCH($N$1,$C$112:$C$113,0)-1,0)</f>
        <v>33.799999999999997</v>
      </c>
      <c r="J30" s="33">
        <f ca="1">37.7*OFFSET(J$112,MATCH($N$1,$C$112:$C$113,0)-1,0)</f>
        <v>37.700000000000003</v>
      </c>
      <c r="K30" s="33">
        <f ca="1">48.2*OFFSET(K$112,MATCH($N$1,$C$112:$C$113,0)-1,0)</f>
        <v>48.2</v>
      </c>
      <c r="L30" s="33">
        <f ca="1">46.5*OFFSET(L$112,MATCH($N$1,$C$112:$C$113,0)-1,0)</f>
        <v>46.5</v>
      </c>
      <c r="M30" s="33">
        <f ca="1">32.1*OFFSET(M$112,MATCH($N$1,$C$112:$C$113,0)-1,0)</f>
        <v>32.1</v>
      </c>
      <c r="N30" s="33">
        <v>37.6</v>
      </c>
      <c r="O30" s="29">
        <f t="shared" ca="1" si="0"/>
        <v>-0.28380952380952379</v>
      </c>
      <c r="P30" s="29">
        <f t="shared" ca="1" si="1"/>
        <v>-2.6525198938992418E-3</v>
      </c>
    </row>
    <row r="31" spans="1:16" ht="18" customHeight="1" x14ac:dyDescent="0.2">
      <c r="A31" s="199"/>
      <c r="B31" s="37" t="s">
        <v>73</v>
      </c>
      <c r="C31" s="33"/>
      <c r="D31" s="33">
        <f ca="1">183.6*OFFSET(D$112,MATCH($N$1,$C$112:$C$113,0)-1,0)</f>
        <v>183.6</v>
      </c>
      <c r="E31" s="33">
        <f ca="1">149.5*OFFSET(E$112,MATCH($N$1,$C$112:$C$113,0)-1,0)</f>
        <v>149.5</v>
      </c>
      <c r="F31" s="33">
        <f ca="1">181.6*OFFSET(F$112,MATCH($N$1,$C$112:$C$113,0)-1,0)</f>
        <v>181.6</v>
      </c>
      <c r="G31" s="33">
        <f ca="1">169.7*OFFSET(G$112,MATCH($N$1,$C$112:$C$113,0)-1,0)</f>
        <v>169.7</v>
      </c>
      <c r="H31" s="33">
        <f ca="1">187.4*OFFSET(H$112,MATCH($N$1,$C$112:$C$113,0)-1,0)</f>
        <v>187.4</v>
      </c>
      <c r="I31" s="33">
        <f ca="1">214.1*OFFSET(I$112,MATCH($N$1,$C$112:$C$113,0)-1,0)</f>
        <v>214.1</v>
      </c>
      <c r="J31" s="33">
        <f ca="1">118.3*OFFSET(J$112,MATCH($N$1,$C$112:$C$113,0)-1,0)</f>
        <v>118.3</v>
      </c>
      <c r="K31" s="33">
        <f ca="1">187.9*OFFSET(K$112,MATCH($N$1,$C$112:$C$113,0)-1,0)</f>
        <v>187.9</v>
      </c>
      <c r="L31" s="33">
        <f ca="1">269.3*OFFSET(L$112,MATCH($N$1,$C$112:$C$113,0)-1,0)</f>
        <v>269.3</v>
      </c>
      <c r="M31" s="33">
        <f ca="1">196.9*OFFSET(M$112,MATCH($N$1,$C$112:$C$113,0)-1,0)</f>
        <v>196.9</v>
      </c>
      <c r="N31" s="33">
        <v>211.3</v>
      </c>
      <c r="O31" s="29">
        <f t="shared" ca="1" si="0"/>
        <v>0.15087145969498919</v>
      </c>
      <c r="P31" s="29">
        <f t="shared" ca="1" si="1"/>
        <v>0.78613693998309397</v>
      </c>
    </row>
    <row r="32" spans="1:16" ht="18" customHeight="1" x14ac:dyDescent="0.2">
      <c r="A32" s="199"/>
      <c r="B32" s="37" t="s">
        <v>74</v>
      </c>
      <c r="C32" s="33"/>
      <c r="D32" s="33">
        <f ca="1">89.9*OFFSET(D$112,MATCH($N$1,$C$112:$C$113,0)-1,0)</f>
        <v>89.9</v>
      </c>
      <c r="E32" s="33">
        <f ca="1">61.2*OFFSET(E$112,MATCH($N$1,$C$112:$C$113,0)-1,0)</f>
        <v>61.2</v>
      </c>
      <c r="F32" s="33">
        <f ca="1">84.7*OFFSET(F$112,MATCH($N$1,$C$112:$C$113,0)-1,0)</f>
        <v>84.7</v>
      </c>
      <c r="G32" s="33">
        <f ca="1">85.6*OFFSET(G$112,MATCH($N$1,$C$112:$C$113,0)-1,0)</f>
        <v>85.6</v>
      </c>
      <c r="H32" s="33">
        <f ca="1">86.5*OFFSET(H$112,MATCH($N$1,$C$112:$C$113,0)-1,0)</f>
        <v>86.5</v>
      </c>
      <c r="I32" s="33">
        <f ca="1">135.6*OFFSET(I$112,MATCH($N$1,$C$112:$C$113,0)-1,0)</f>
        <v>135.6</v>
      </c>
      <c r="J32" s="33">
        <f ca="1">136.3*OFFSET(J$112,MATCH($N$1,$C$112:$C$113,0)-1,0)</f>
        <v>136.30000000000001</v>
      </c>
      <c r="K32" s="33">
        <f ca="1">146.9*OFFSET(K$112,MATCH($N$1,$C$112:$C$113,0)-1,0)</f>
        <v>146.9</v>
      </c>
      <c r="L32" s="33">
        <f ca="1">168.4*OFFSET(L$112,MATCH($N$1,$C$112:$C$113,0)-1,0)</f>
        <v>168.4</v>
      </c>
      <c r="M32" s="33">
        <f ca="1">104.6*OFFSET(M$112,MATCH($N$1,$C$112:$C$113,0)-1,0)</f>
        <v>104.6</v>
      </c>
      <c r="N32" s="33">
        <v>113</v>
      </c>
      <c r="O32" s="29">
        <f t="shared" ca="1" si="0"/>
        <v>0.25695216907675189</v>
      </c>
      <c r="P32" s="29">
        <f t="shared" ca="1" si="1"/>
        <v>-0.1709464416727807</v>
      </c>
    </row>
    <row r="33" spans="1:16" ht="18" customHeight="1" x14ac:dyDescent="0.2">
      <c r="A33" s="199"/>
      <c r="B33" s="37" t="s">
        <v>75</v>
      </c>
      <c r="C33" s="33"/>
      <c r="D33" s="33">
        <f ca="1">326*OFFSET(D$112,MATCH($N$1,$C$112:$C$113,0)-1,0)</f>
        <v>326</v>
      </c>
      <c r="E33" s="33">
        <f ca="1">263.1*OFFSET(E$112,MATCH($N$1,$C$112:$C$113,0)-1,0)</f>
        <v>263.10000000000002</v>
      </c>
      <c r="F33" s="33">
        <f ca="1">320.1*OFFSET(F$112,MATCH($N$1,$C$112:$C$113,0)-1,0)</f>
        <v>320.10000000000002</v>
      </c>
      <c r="G33" s="33">
        <f ca="1">304.5*OFFSET(G$112,MATCH($N$1,$C$112:$C$113,0)-1,0)</f>
        <v>304.5</v>
      </c>
      <c r="H33" s="33">
        <f ca="1">311.3*OFFSET(H$112,MATCH($N$1,$C$112:$C$113,0)-1,0)</f>
        <v>311.3</v>
      </c>
      <c r="I33" s="33">
        <f ca="1">383.5*OFFSET(I$112,MATCH($N$1,$C$112:$C$113,0)-1,0)</f>
        <v>383.5</v>
      </c>
      <c r="J33" s="33">
        <f ca="1">292.2*OFFSET(J$112,MATCH($N$1,$C$112:$C$113,0)-1,0)</f>
        <v>292.2</v>
      </c>
      <c r="K33" s="33">
        <f ca="1">383*OFFSET(K$112,MATCH($N$1,$C$112:$C$113,0)-1,0)</f>
        <v>383</v>
      </c>
      <c r="L33" s="33">
        <f ca="1">484.2*OFFSET(L$112,MATCH($N$1,$C$112:$C$113,0)-1,0)</f>
        <v>484.2</v>
      </c>
      <c r="M33" s="33">
        <f ca="1">333.6*OFFSET(M$112,MATCH($N$1,$C$112:$C$113,0)-1,0)</f>
        <v>333.6</v>
      </c>
      <c r="N33" s="33">
        <v>361.8</v>
      </c>
      <c r="O33" s="29">
        <f t="shared" ca="1" si="0"/>
        <v>0.10981595092024543</v>
      </c>
      <c r="P33" s="29">
        <f t="shared" ca="1" si="1"/>
        <v>0.2381930184804929</v>
      </c>
    </row>
    <row r="34" spans="1:16" ht="18" customHeight="1" x14ac:dyDescent="0.2">
      <c r="A34" s="199"/>
      <c r="B34" s="37" t="s">
        <v>76</v>
      </c>
      <c r="C34" s="33"/>
      <c r="D34" s="33">
        <f ca="1">184.9*OFFSET(D$112,MATCH($N$1,$C$112:$C$113,0)-1,0)</f>
        <v>184.9</v>
      </c>
      <c r="E34" s="33">
        <f ca="1">170.5*OFFSET(E$112,MATCH($N$1,$C$112:$C$113,0)-1,0)</f>
        <v>170.5</v>
      </c>
      <c r="F34" s="33">
        <f ca="1">171.1*OFFSET(F$112,MATCH($N$1,$C$112:$C$113,0)-1,0)</f>
        <v>171.1</v>
      </c>
      <c r="G34" s="33">
        <f ca="1">163.9*OFFSET(G$112,MATCH($N$1,$C$112:$C$113,0)-1,0)</f>
        <v>163.9</v>
      </c>
      <c r="H34" s="33">
        <f ca="1">149.2*OFFSET(H$112,MATCH($N$1,$C$112:$C$113,0)-1,0)</f>
        <v>149.19999999999999</v>
      </c>
      <c r="I34" s="33">
        <f ca="1">147.1*OFFSET(I$112,MATCH($N$1,$C$112:$C$113,0)-1,0)</f>
        <v>147.1</v>
      </c>
      <c r="J34" s="33">
        <f ca="1">178.9*OFFSET(J$112,MATCH($N$1,$C$112:$C$113,0)-1,0)</f>
        <v>178.9</v>
      </c>
      <c r="K34" s="33">
        <f ca="1">151.8*OFFSET(K$112,MATCH($N$1,$C$112:$C$113,0)-1,0)</f>
        <v>151.80000000000001</v>
      </c>
      <c r="L34" s="33">
        <f ca="1">191*OFFSET(L$112,MATCH($N$1,$C$112:$C$113,0)-1,0)</f>
        <v>191</v>
      </c>
      <c r="M34" s="33">
        <f ca="1">141.7*OFFSET(M$112,MATCH($N$1,$C$112:$C$113,0)-1,0)</f>
        <v>141.69999999999999</v>
      </c>
      <c r="N34" s="33">
        <v>145.9</v>
      </c>
      <c r="O34" s="29">
        <f t="shared" ca="1" si="0"/>
        <v>-0.21092482422931313</v>
      </c>
      <c r="P34" s="29">
        <f t="shared" ca="1" si="1"/>
        <v>-0.184460592509782</v>
      </c>
    </row>
    <row r="35" spans="1:16" ht="18" customHeight="1" x14ac:dyDescent="0.2">
      <c r="A35" s="199"/>
      <c r="B35" s="37" t="s">
        <v>77</v>
      </c>
      <c r="C35" s="33"/>
      <c r="D35" s="33">
        <f ca="1">510.9*OFFSET(D$112,MATCH($N$1,$C$112:$C$113,0)-1,0)</f>
        <v>510.9</v>
      </c>
      <c r="E35" s="33">
        <f ca="1">433.6*OFFSET(E$112,MATCH($N$1,$C$112:$C$113,0)-1,0)</f>
        <v>433.6</v>
      </c>
      <c r="F35" s="33">
        <f ca="1">491.2*OFFSET(F$112,MATCH($N$1,$C$112:$C$113,0)-1,0)</f>
        <v>491.2</v>
      </c>
      <c r="G35" s="33">
        <f ca="1">468.5*OFFSET(G$112,MATCH($N$1,$C$112:$C$113,0)-1,0)</f>
        <v>468.5</v>
      </c>
      <c r="H35" s="33">
        <f ca="1">460.5*OFFSET(H$112,MATCH($N$1,$C$112:$C$113,0)-1,0)</f>
        <v>460.5</v>
      </c>
      <c r="I35" s="33">
        <f ca="1">530.6*OFFSET(I$112,MATCH($N$1,$C$112:$C$113,0)-1,0)</f>
        <v>530.6</v>
      </c>
      <c r="J35" s="33">
        <f ca="1">471.1*OFFSET(J$112,MATCH($N$1,$C$112:$C$113,0)-1,0)</f>
        <v>471.1</v>
      </c>
      <c r="K35" s="33">
        <f ca="1">534.8*OFFSET(K$112,MATCH($N$1,$C$112:$C$113,0)-1,0)</f>
        <v>534.79999999999995</v>
      </c>
      <c r="L35" s="33">
        <f ca="1">675.2*OFFSET(L$112,MATCH($N$1,$C$112:$C$113,0)-1,0)</f>
        <v>675.2</v>
      </c>
      <c r="M35" s="33">
        <f ca="1">475.3*OFFSET(M$112,MATCH($N$1,$C$112:$C$113,0)-1,0)</f>
        <v>475.3</v>
      </c>
      <c r="N35" s="33">
        <v>507.8</v>
      </c>
      <c r="O35" s="29">
        <f t="shared" ca="1" si="0"/>
        <v>-6.0677236249754669E-3</v>
      </c>
      <c r="P35" s="29">
        <f t="shared" ca="1" si="1"/>
        <v>7.7902780725960491E-2</v>
      </c>
    </row>
    <row r="36" spans="1:16" ht="18" customHeight="1" x14ac:dyDescent="0.2">
      <c r="A36" s="199"/>
      <c r="B36" s="42" t="s">
        <v>78</v>
      </c>
      <c r="C36" s="43"/>
      <c r="D36" s="43">
        <f ca="1">221.4*OFFSET(D$112,MATCH($N$1,$C$112:$C$113,0)-1,0)</f>
        <v>221.4</v>
      </c>
      <c r="E36" s="43">
        <f ca="1">283.8*OFFSET(E$112,MATCH($N$1,$C$112:$C$113,0)-1,0)</f>
        <v>283.8</v>
      </c>
      <c r="F36" s="43">
        <f ca="1">244.4*OFFSET(F$112,MATCH($N$1,$C$112:$C$113,0)-1,0)</f>
        <v>244.4</v>
      </c>
      <c r="G36" s="43">
        <f ca="1">331.5*OFFSET(G$112,MATCH($N$1,$C$112:$C$113,0)-1,0)</f>
        <v>331.5</v>
      </c>
      <c r="H36" s="43">
        <f ca="1">397.3*OFFSET(H$112,MATCH($N$1,$C$112:$C$113,0)-1,0)</f>
        <v>397.3</v>
      </c>
      <c r="I36" s="43">
        <f ca="1">350.9*OFFSET(I$112,MATCH($N$1,$C$112:$C$113,0)-1,0)</f>
        <v>350.9</v>
      </c>
      <c r="J36" s="43">
        <f ca="1">191.8*OFFSET(J$112,MATCH($N$1,$C$112:$C$113,0)-1,0)</f>
        <v>191.8</v>
      </c>
      <c r="K36" s="43">
        <f ca="1">252.4*OFFSET(K$112,MATCH($N$1,$C$112:$C$113,0)-1,0)</f>
        <v>252.4</v>
      </c>
      <c r="L36" s="43">
        <f ca="1">370.5*OFFSET(L$112,MATCH($N$1,$C$112:$C$113,0)-1,0)</f>
        <v>370.5</v>
      </c>
      <c r="M36" s="43">
        <f ca="1">249.8*OFFSET(M$112,MATCH($N$1,$C$112:$C$113,0)-1,0)</f>
        <v>249.8</v>
      </c>
      <c r="N36" s="43">
        <v>267.2</v>
      </c>
      <c r="O36" s="29">
        <f t="shared" ca="1" si="0"/>
        <v>0.20686540198735312</v>
      </c>
      <c r="P36" s="29">
        <f t="shared" ca="1" si="1"/>
        <v>0.39311783107403531</v>
      </c>
    </row>
    <row r="37" spans="1:16" ht="18" customHeight="1" x14ac:dyDescent="0.2">
      <c r="A37" s="199"/>
      <c r="B37" s="42" t="s">
        <v>79</v>
      </c>
      <c r="C37" s="43"/>
      <c r="D37" s="43">
        <f ca="1">37.8*OFFSET(D$112,MATCH($N$1,$C$112:$C$113,0)-1,0)</f>
        <v>37.799999999999997</v>
      </c>
      <c r="E37" s="43">
        <f ca="1">134.3*OFFSET(E$112,MATCH($N$1,$C$112:$C$113,0)-1,0)</f>
        <v>134.30000000000001</v>
      </c>
      <c r="F37" s="43">
        <f ca="1">62.8*OFFSET(F$112,MATCH($N$1,$C$112:$C$113,0)-1,0)</f>
        <v>62.8</v>
      </c>
      <c r="G37" s="43">
        <f ca="1">161.8*OFFSET(G$112,MATCH($N$1,$C$112:$C$113,0)-1,0)</f>
        <v>161.80000000000001</v>
      </c>
      <c r="H37" s="43">
        <f ca="1">209.9*OFFSET(H$112,MATCH($N$1,$C$112:$C$113,0)-1,0)</f>
        <v>209.9</v>
      </c>
      <c r="I37" s="43">
        <f ca="1">136.8*OFFSET(I$112,MATCH($N$1,$C$112:$C$113,0)-1,0)</f>
        <v>136.80000000000001</v>
      </c>
      <c r="J37" s="43">
        <f ca="1">73.5*OFFSET(J$112,MATCH($N$1,$C$112:$C$113,0)-1,0)</f>
        <v>73.5</v>
      </c>
      <c r="K37" s="43">
        <f ca="1">64.5*OFFSET(K$112,MATCH($N$1,$C$112:$C$113,0)-1,0)</f>
        <v>64.5</v>
      </c>
      <c r="L37" s="43">
        <f ca="1">101.2*OFFSET(L$112,MATCH($N$1,$C$112:$C$113,0)-1,0)</f>
        <v>101.2</v>
      </c>
      <c r="M37" s="43">
        <f ca="1">52.9*OFFSET(M$112,MATCH($N$1,$C$112:$C$113,0)-1,0)</f>
        <v>52.9</v>
      </c>
      <c r="N37" s="43">
        <v>55.9</v>
      </c>
      <c r="O37" s="29">
        <f t="shared" ca="1" si="0"/>
        <v>0.47883597883597889</v>
      </c>
      <c r="P37" s="29">
        <f t="shared" ca="1" si="1"/>
        <v>-0.23945578231292519</v>
      </c>
    </row>
    <row r="38" spans="1:16" ht="18" customHeight="1" x14ac:dyDescent="0.2">
      <c r="A38" s="199"/>
      <c r="B38" s="37" t="s">
        <v>80</v>
      </c>
      <c r="C38" s="33"/>
      <c r="D38" s="33">
        <f ca="1">18.2*OFFSET(D$112,MATCH($N$1,$C$112:$C$113,0)-1,0)</f>
        <v>18.2</v>
      </c>
      <c r="E38" s="33">
        <f ca="1">18.8*OFFSET(E$112,MATCH($N$1,$C$112:$C$113,0)-1,0)</f>
        <v>18.8</v>
      </c>
      <c r="F38" s="33">
        <f ca="1">40.2*OFFSET(F$112,MATCH($N$1,$C$112:$C$113,0)-1,0)</f>
        <v>40.200000000000003</v>
      </c>
      <c r="G38" s="33">
        <f ca="1">30.6*OFFSET(G$112,MATCH($N$1,$C$112:$C$113,0)-1,0)</f>
        <v>30.6</v>
      </c>
      <c r="H38" s="33">
        <f ca="1">35.8*OFFSET(H$112,MATCH($N$1,$C$112:$C$113,0)-1,0)</f>
        <v>35.799999999999997</v>
      </c>
      <c r="I38" s="33">
        <f ca="1">44.4*OFFSET(I$112,MATCH($N$1,$C$112:$C$113,0)-1,0)</f>
        <v>44.4</v>
      </c>
      <c r="J38" s="33">
        <f ca="1">9*OFFSET(J$112,MATCH($N$1,$C$112:$C$113,0)-1,0)</f>
        <v>9</v>
      </c>
      <c r="K38" s="33">
        <f ca="1">23.7*OFFSET(K$112,MATCH($N$1,$C$112:$C$113,0)-1,0)</f>
        <v>23.7</v>
      </c>
      <c r="L38" s="33">
        <f ca="1">27.3*OFFSET(L$112,MATCH($N$1,$C$112:$C$113,0)-1,0)</f>
        <v>27.3</v>
      </c>
      <c r="M38" s="33">
        <f ca="1">25.3*OFFSET(M$112,MATCH($N$1,$C$112:$C$113,0)-1,0)</f>
        <v>25.3</v>
      </c>
      <c r="N38" s="33"/>
      <c r="O38" s="29" t="str">
        <f t="shared" si="0"/>
        <v/>
      </c>
      <c r="P38" s="29" t="str">
        <f t="shared" si="1"/>
        <v/>
      </c>
    </row>
    <row r="39" spans="1:16" ht="18" customHeight="1" x14ac:dyDescent="0.2">
      <c r="A39" s="199"/>
      <c r="B39" s="37" t="s">
        <v>81</v>
      </c>
      <c r="C39" s="33"/>
      <c r="D39" s="33">
        <f ca="1">0.3*OFFSET(D$112,MATCH($N$1,$C$112:$C$113,0)-1,0)</f>
        <v>0.3</v>
      </c>
      <c r="E39" s="33"/>
      <c r="F39" s="33"/>
      <c r="G39" s="33">
        <f ca="1">5.6*OFFSET(G$112,MATCH($N$1,$C$112:$C$113,0)-1,0)</f>
        <v>5.6</v>
      </c>
      <c r="H39" s="33">
        <f ca="1">2.3*OFFSET(H$112,MATCH($N$1,$C$112:$C$113,0)-1,0)</f>
        <v>2.2999999999999998</v>
      </c>
      <c r="I39" s="33">
        <f ca="1">1.3*OFFSET(I$112,MATCH($N$1,$C$112:$C$113,0)-1,0)</f>
        <v>1.3</v>
      </c>
      <c r="J39" s="33">
        <f ca="1">1.6*OFFSET(J$112,MATCH($N$1,$C$112:$C$113,0)-1,0)</f>
        <v>1.6</v>
      </c>
      <c r="K39" s="33"/>
      <c r="L39" s="33">
        <f ca="1">0.1*OFFSET(L$112,MATCH($N$1,$C$112:$C$113,0)-1,0)</f>
        <v>0.1</v>
      </c>
      <c r="M39" s="33"/>
      <c r="N39" s="33"/>
      <c r="O39" s="29" t="str">
        <f t="shared" si="0"/>
        <v/>
      </c>
      <c r="P39" s="29" t="str">
        <f t="shared" si="1"/>
        <v/>
      </c>
    </row>
    <row r="40" spans="1:16" ht="18" customHeight="1" x14ac:dyDescent="0.2">
      <c r="A40" s="199"/>
      <c r="B40" s="37" t="s">
        <v>82</v>
      </c>
      <c r="C40" s="33"/>
      <c r="D40" s="33"/>
      <c r="E40" s="33"/>
      <c r="F40" s="33"/>
      <c r="G40" s="33">
        <f ca="1">3.3*OFFSET(G$112,MATCH($N$1,$C$112:$C$113,0)-1,0)</f>
        <v>3.3</v>
      </c>
      <c r="H40" s="33">
        <f ca="1">0.2*OFFSET(H$112,MATCH($N$1,$C$112:$C$113,0)-1,0)</f>
        <v>0.2</v>
      </c>
      <c r="I40" s="33">
        <f ca="1">0.6*OFFSET(I$112,MATCH($N$1,$C$112:$C$113,0)-1,0)</f>
        <v>0.6</v>
      </c>
      <c r="J40" s="33"/>
      <c r="K40" s="33">
        <f ca="1">0.2*OFFSET(K$112,MATCH($N$1,$C$112:$C$113,0)-1,0)</f>
        <v>0.2</v>
      </c>
      <c r="L40" s="33">
        <f ca="1">0.1*OFFSET(L$112,MATCH($N$1,$C$112:$C$113,0)-1,0)</f>
        <v>0.1</v>
      </c>
      <c r="M40" s="33">
        <f ca="1">0.1*OFFSET(M$112,MATCH($N$1,$C$112:$C$113,0)-1,0)</f>
        <v>0.1</v>
      </c>
      <c r="N40" s="33"/>
      <c r="O40" s="29" t="str">
        <f t="shared" si="0"/>
        <v/>
      </c>
      <c r="P40" s="29" t="str">
        <f t="shared" si="1"/>
        <v/>
      </c>
    </row>
    <row r="41" spans="1:16" ht="18" customHeight="1" thickBot="1" x14ac:dyDescent="0.25">
      <c r="A41" s="200"/>
      <c r="B41" s="44" t="s">
        <v>83</v>
      </c>
      <c r="C41" s="45"/>
      <c r="D41" s="45">
        <f ca="1">19.2*OFFSET(D$112,MATCH($N$1,$C$112:$C$113,0)-1,0)</f>
        <v>19.2</v>
      </c>
      <c r="E41" s="45">
        <f ca="1">115.4*OFFSET(E$112,MATCH($N$1,$C$112:$C$113,0)-1,0)</f>
        <v>115.4</v>
      </c>
      <c r="F41" s="45">
        <f ca="1">22.6*OFFSET(F$112,MATCH($N$1,$C$112:$C$113,0)-1,0)</f>
        <v>22.6</v>
      </c>
      <c r="G41" s="45">
        <f ca="1">122.4*OFFSET(G$112,MATCH($N$1,$C$112:$C$113,0)-1,0)</f>
        <v>122.4</v>
      </c>
      <c r="H41" s="45">
        <f ca="1">171.6*OFFSET(H$112,MATCH($N$1,$C$112:$C$113,0)-1,0)</f>
        <v>171.6</v>
      </c>
      <c r="I41" s="45">
        <f ca="1">90.5*OFFSET(I$112,MATCH($N$1,$C$112:$C$113,0)-1,0)</f>
        <v>90.5</v>
      </c>
      <c r="J41" s="45">
        <f ca="1">62.9*OFFSET(J$112,MATCH($N$1,$C$112:$C$113,0)-1,0)</f>
        <v>62.9</v>
      </c>
      <c r="K41" s="45">
        <f ca="1">40.5*OFFSET(K$112,MATCH($N$1,$C$112:$C$113,0)-1,0)</f>
        <v>40.5</v>
      </c>
      <c r="L41" s="45">
        <f ca="1">73.6*OFFSET(L$112,MATCH($N$1,$C$112:$C$113,0)-1,0)</f>
        <v>73.599999999999994</v>
      </c>
      <c r="M41" s="45">
        <f ca="1">21.1*OFFSET(M$112,MATCH($N$1,$C$112:$C$113,0)-1,0)</f>
        <v>21.1</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130</v>
      </c>
      <c r="F46" s="94" t="s">
        <v>130</v>
      </c>
      <c r="G46" s="94" t="s">
        <v>130</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Gill netters</v>
      </c>
      <c r="C48" s="96"/>
      <c r="D48" s="96"/>
      <c r="E48" s="96"/>
      <c r="F48" s="96"/>
      <c r="G48" s="96"/>
      <c r="K48" s="96" t="str">
        <f>$B24&amp;CHAR(10)&amp;$A$1</f>
        <v>Operating profit per kW day at sea (£)
Gill netters</v>
      </c>
    </row>
    <row r="49" spans="1:11" s="82" customFormat="1" x14ac:dyDescent="0.2">
      <c r="A49" s="96" t="str">
        <f>$B22&amp;CHAR(10)&amp;$A$1</f>
        <v>Fishing income per kW day at sea (£)
Gill netters</v>
      </c>
    </row>
    <row r="50" spans="1:11" s="82" customFormat="1" x14ac:dyDescent="0.2">
      <c r="A50" s="96" t="str">
        <f>$B20&amp;CHAR(10)&amp;$A$1</f>
        <v>Average price per tonne landed (£)
Gill netters</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Gill netters</v>
      </c>
      <c r="F62" s="96" t="str">
        <f>$B20&amp;CHAR(10)&amp;$A$1</f>
        <v>Average price per tonne landed (£)
Gill netters</v>
      </c>
      <c r="K62" s="96" t="str">
        <f>"Average annual operating profit per vessel (£'000)"&amp;CHAR(10)&amp;$A$1</f>
        <v>Average annual operating profit per vessel (£'000)
Gill netters</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Gill netters</v>
      </c>
      <c r="F76" s="96" t="str">
        <f>"Top 5 landed species by value in "&amp;A77&amp;CHAR(10)&amp;A1</f>
        <v>Top 5 landed species by value in 2020
Gill netters</v>
      </c>
    </row>
    <row r="77" spans="1:11" s="96" customFormat="1" x14ac:dyDescent="0.2">
      <c r="A77" s="96">
        <v>2020</v>
      </c>
      <c r="B77" s="96" t="s">
        <v>198</v>
      </c>
      <c r="C77" s="97">
        <v>0.3643222724137008</v>
      </c>
      <c r="D77" s="98">
        <v>12153634</v>
      </c>
      <c r="G77" s="96" t="s">
        <v>199</v>
      </c>
      <c r="H77" s="97">
        <v>0.45653206126868429</v>
      </c>
      <c r="I77" s="98">
        <v>12153634</v>
      </c>
      <c r="K77" s="96" t="s">
        <v>87</v>
      </c>
    </row>
    <row r="78" spans="1:11" s="96" customFormat="1" x14ac:dyDescent="0.2">
      <c r="B78" s="96" t="s">
        <v>200</v>
      </c>
      <c r="C78" s="97">
        <v>0.29909482060807119</v>
      </c>
      <c r="D78" s="98">
        <v>1692097</v>
      </c>
      <c r="G78" s="96" t="s">
        <v>201</v>
      </c>
      <c r="H78" s="97">
        <v>0.27874578456688354</v>
      </c>
      <c r="I78" s="98">
        <v>553960</v>
      </c>
    </row>
    <row r="79" spans="1:11" s="96" customFormat="1" x14ac:dyDescent="0.2">
      <c r="B79" s="96" t="s">
        <v>202</v>
      </c>
      <c r="C79" s="97">
        <v>0.17412179751996323</v>
      </c>
      <c r="D79" s="98">
        <v>553960</v>
      </c>
      <c r="G79" s="96" t="s">
        <v>203</v>
      </c>
      <c r="H79" s="97">
        <v>8.7237923099050013E-2</v>
      </c>
      <c r="I79" s="98">
        <v>3050596</v>
      </c>
    </row>
    <row r="80" spans="1:11" s="96" customFormat="1" x14ac:dyDescent="0.2">
      <c r="B80" s="96" t="s">
        <v>204</v>
      </c>
      <c r="C80" s="97">
        <v>6.6491863575707882E-2</v>
      </c>
      <c r="D80" s="98">
        <v>3050596</v>
      </c>
      <c r="G80" s="96" t="s">
        <v>205</v>
      </c>
      <c r="H80" s="97">
        <v>5.0565706863700058E-2</v>
      </c>
      <c r="I80" s="98">
        <v>1692097</v>
      </c>
    </row>
    <row r="81" spans="1:19" s="96" customFormat="1" x14ac:dyDescent="0.2">
      <c r="B81" s="96" t="s">
        <v>206</v>
      </c>
      <c r="C81" s="97">
        <v>2.0790159848446368E-2</v>
      </c>
      <c r="D81" s="98">
        <v>11115023</v>
      </c>
      <c r="G81" s="96" t="s">
        <v>207</v>
      </c>
      <c r="H81" s="97">
        <v>3.073290143011365E-2</v>
      </c>
      <c r="I81" s="98">
        <v>3689192</v>
      </c>
    </row>
    <row r="82" spans="1:19" s="96" customFormat="1" x14ac:dyDescent="0.2">
      <c r="B82" s="96" t="s">
        <v>208</v>
      </c>
      <c r="C82" s="97">
        <v>7.5179086034110498E-2</v>
      </c>
      <c r="D82" s="98">
        <v>5920853</v>
      </c>
      <c r="G82" s="96" t="s">
        <v>209</v>
      </c>
      <c r="H82" s="97">
        <v>9.6185622771568502E-2</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143</v>
      </c>
      <c r="D92" s="102">
        <v>0.57545101582194691</v>
      </c>
      <c r="E92" s="102">
        <v>0.50116003545755916</v>
      </c>
      <c r="F92" s="102">
        <v>0.5264204761957747</v>
      </c>
      <c r="G92" s="102">
        <v>0.53102206261319262</v>
      </c>
      <c r="H92" s="102">
        <v>0.50246725849183882</v>
      </c>
      <c r="I92" s="102">
        <v>0.43498323178678439</v>
      </c>
      <c r="J92" s="102">
        <v>0.39245515808732206</v>
      </c>
      <c r="K92" s="102">
        <v>0.50255080542275821</v>
      </c>
      <c r="L92" s="102">
        <v>0.45653206126868429</v>
      </c>
      <c r="M92" s="102">
        <v>0.41472241846848945</v>
      </c>
      <c r="O92" s="96">
        <v>12153634</v>
      </c>
    </row>
    <row r="93" spans="1:19" s="96" customFormat="1" hidden="1" x14ac:dyDescent="0.2">
      <c r="B93" s="96">
        <v>2</v>
      </c>
      <c r="C93" s="96" t="s">
        <v>99</v>
      </c>
      <c r="D93" s="102">
        <v>6.5611814848101926E-2</v>
      </c>
      <c r="E93" s="102">
        <v>0.13999365104237649</v>
      </c>
      <c r="F93" s="102">
        <v>0.11614284088730938</v>
      </c>
      <c r="G93" s="102">
        <v>0.17386423956225144</v>
      </c>
      <c r="H93" s="102">
        <v>0.15024753196050067</v>
      </c>
      <c r="I93" s="102">
        <v>0.26114922089122727</v>
      </c>
      <c r="J93" s="102">
        <v>0.36356795311225626</v>
      </c>
      <c r="K93" s="102">
        <v>0.33550651355699607</v>
      </c>
      <c r="L93" s="102">
        <v>0.27874578456688354</v>
      </c>
      <c r="M93" s="102">
        <v>0.32109923413690666</v>
      </c>
      <c r="O93" s="96">
        <v>553960</v>
      </c>
    </row>
    <row r="94" spans="1:19" s="96" customFormat="1" hidden="1" x14ac:dyDescent="0.2">
      <c r="B94" s="96">
        <v>3</v>
      </c>
      <c r="C94" s="96" t="s">
        <v>101</v>
      </c>
      <c r="D94" s="102">
        <v>0.12701210956048822</v>
      </c>
      <c r="E94" s="102">
        <v>0.12690128575604356</v>
      </c>
      <c r="F94" s="102">
        <v>8.9997113815497076E-2</v>
      </c>
      <c r="G94" s="102">
        <v>0.10451047323682797</v>
      </c>
      <c r="H94" s="102">
        <v>0.13816913933642477</v>
      </c>
      <c r="I94" s="102">
        <v>8.3623613441905359E-2</v>
      </c>
      <c r="J94" s="102">
        <v>5.3129253089279786E-2</v>
      </c>
      <c r="K94" s="102">
        <v>3.0691268068435543E-2</v>
      </c>
      <c r="L94" s="102">
        <v>8.7237923099050013E-2</v>
      </c>
      <c r="M94" s="102">
        <v>5.8489495532840573E-2</v>
      </c>
      <c r="O94" s="96">
        <v>3050596</v>
      </c>
    </row>
    <row r="95" spans="1:19" s="96" customFormat="1" hidden="1" x14ac:dyDescent="0.2">
      <c r="B95" s="96">
        <v>4</v>
      </c>
      <c r="C95" s="96" t="s">
        <v>196</v>
      </c>
      <c r="D95" s="102"/>
      <c r="E95" s="102">
        <v>4.9621307553054245E-2</v>
      </c>
      <c r="F95" s="102"/>
      <c r="G95" s="102">
        <v>2.1254795697274315E-2</v>
      </c>
      <c r="H95" s="102"/>
      <c r="I95" s="102">
        <v>3.3742581017777599E-2</v>
      </c>
      <c r="J95" s="102">
        <v>4.4981469394183744E-2</v>
      </c>
      <c r="K95" s="102">
        <v>2.1982962591874551E-2</v>
      </c>
      <c r="L95" s="102">
        <v>5.0565706863700058E-2</v>
      </c>
      <c r="M95" s="102">
        <v>3.7647493739944984E-2</v>
      </c>
      <c r="O95" s="96">
        <v>1692097</v>
      </c>
    </row>
    <row r="96" spans="1:19" s="96" customFormat="1" hidden="1" x14ac:dyDescent="0.2">
      <c r="B96" s="96">
        <v>5</v>
      </c>
      <c r="C96" s="96" t="s">
        <v>147</v>
      </c>
      <c r="D96" s="102">
        <v>5.0010328821231007E-2</v>
      </c>
      <c r="E96" s="102">
        <v>4.6203385419087896E-2</v>
      </c>
      <c r="F96" s="102">
        <v>5.7566587462359937E-2</v>
      </c>
      <c r="G96" s="102">
        <v>7.4084531282658544E-2</v>
      </c>
      <c r="H96" s="102">
        <v>6.2957726183678231E-2</v>
      </c>
      <c r="I96" s="102">
        <v>7.7523907466365657E-2</v>
      </c>
      <c r="J96" s="102">
        <v>5.2389363514394251E-2</v>
      </c>
      <c r="K96" s="102">
        <v>3.9225525286205709E-2</v>
      </c>
      <c r="L96" s="102">
        <v>3.073290143011365E-2</v>
      </c>
      <c r="M96" s="102">
        <v>6.565033541394559E-2</v>
      </c>
      <c r="O96" s="96">
        <v>3689192</v>
      </c>
    </row>
    <row r="97" spans="1:15" s="96" customFormat="1" hidden="1" x14ac:dyDescent="0.2">
      <c r="B97" s="96">
        <v>6</v>
      </c>
      <c r="C97" s="96" t="s">
        <v>98</v>
      </c>
      <c r="D97" s="102">
        <v>4.6716316234309892E-2</v>
      </c>
      <c r="E97" s="102"/>
      <c r="F97" s="102"/>
      <c r="G97" s="102"/>
      <c r="H97" s="102">
        <v>2.6820950027011702E-2</v>
      </c>
      <c r="I97" s="102"/>
      <c r="J97" s="102"/>
      <c r="K97" s="102"/>
      <c r="L97" s="102"/>
      <c r="M97" s="102"/>
      <c r="O97" s="96">
        <v>11115023</v>
      </c>
    </row>
    <row r="98" spans="1:15" s="96" customFormat="1" hidden="1" x14ac:dyDescent="0.2">
      <c r="B98" s="96">
        <v>7</v>
      </c>
      <c r="C98" s="96" t="s">
        <v>128</v>
      </c>
      <c r="D98" s="102"/>
      <c r="E98" s="102"/>
      <c r="F98" s="102">
        <v>3.5113066632180112E-2</v>
      </c>
      <c r="G98" s="102"/>
      <c r="H98" s="102"/>
      <c r="I98" s="102"/>
      <c r="J98" s="102"/>
      <c r="K98" s="102"/>
      <c r="L98" s="102"/>
      <c r="M98" s="102"/>
      <c r="O98" s="96">
        <v>2480382</v>
      </c>
    </row>
    <row r="99" spans="1:15" s="96" customFormat="1" hidden="1" x14ac:dyDescent="0.2">
      <c r="B99" s="96">
        <v>8</v>
      </c>
      <c r="C99" s="96" t="s">
        <v>107</v>
      </c>
      <c r="D99" s="102">
        <v>0.13519841471392205</v>
      </c>
      <c r="E99" s="102">
        <v>0.1361203347718786</v>
      </c>
      <c r="F99" s="102">
        <v>0.17475991500687876</v>
      </c>
      <c r="G99" s="102">
        <v>9.526389760779512E-2</v>
      </c>
      <c r="H99" s="102">
        <v>0.11933739400054581</v>
      </c>
      <c r="I99" s="102">
        <v>0.1089774453959397</v>
      </c>
      <c r="J99" s="102">
        <v>9.3476802802563902E-2</v>
      </c>
      <c r="K99" s="102">
        <v>7.0042925073729931E-2</v>
      </c>
      <c r="L99" s="102">
        <v>9.6185622771568474E-2</v>
      </c>
      <c r="M99" s="102">
        <v>0.10239102270787279</v>
      </c>
      <c r="O99" s="96">
        <v>5920853</v>
      </c>
    </row>
    <row r="100" spans="1:15" s="96" customFormat="1" hidden="1" x14ac:dyDescent="0.2">
      <c r="B100" s="96">
        <v>9</v>
      </c>
      <c r="D100" s="102"/>
      <c r="E100" s="102"/>
      <c r="F100" s="102"/>
      <c r="G100" s="102"/>
      <c r="H100" s="102"/>
      <c r="I100" s="102"/>
      <c r="J100" s="102"/>
      <c r="K100" s="102"/>
      <c r="L100" s="102"/>
      <c r="M100" s="102"/>
      <c r="O100" s="96">
        <v>8497745</v>
      </c>
    </row>
    <row r="101" spans="1:15" s="96" customFormat="1" hidden="1" x14ac:dyDescent="0.2">
      <c r="B101" s="96">
        <v>10</v>
      </c>
      <c r="D101" s="102"/>
      <c r="E101" s="102"/>
      <c r="F101" s="102"/>
      <c r="G101" s="102"/>
      <c r="H101" s="102"/>
      <c r="I101" s="102"/>
      <c r="J101" s="102"/>
      <c r="K101" s="102"/>
      <c r="L101" s="102"/>
      <c r="M101" s="102"/>
      <c r="O101" s="96">
        <v>14393110</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9</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7</v>
      </c>
      <c r="D120" s="56">
        <v>13</v>
      </c>
      <c r="E120" s="56">
        <v>7</v>
      </c>
      <c r="F120" s="57">
        <v>26</v>
      </c>
    </row>
    <row r="121" spans="1:15" ht="18" customHeight="1" x14ac:dyDescent="0.2">
      <c r="A121" s="194" t="s">
        <v>27</v>
      </c>
      <c r="B121" s="35" t="s">
        <v>62</v>
      </c>
      <c r="C121" s="58">
        <v>27.412857055664063</v>
      </c>
      <c r="D121" s="58">
        <v>17.361538153428299</v>
      </c>
      <c r="E121" s="58">
        <v>16.882856369018555</v>
      </c>
      <c r="F121" s="59">
        <v>20.214614868164063</v>
      </c>
    </row>
    <row r="122" spans="1:15" ht="18" customHeight="1" x14ac:dyDescent="0.2">
      <c r="A122" s="195"/>
      <c r="B122" s="37" t="s">
        <v>55</v>
      </c>
      <c r="C122" s="60">
        <v>419.14285278320313</v>
      </c>
      <c r="D122" s="60">
        <v>297.61538696289063</v>
      </c>
      <c r="E122" s="60">
        <v>213.85714721679688</v>
      </c>
      <c r="F122" s="61">
        <v>324.84616088867188</v>
      </c>
    </row>
    <row r="123" spans="1:15" ht="18" customHeight="1" x14ac:dyDescent="0.2">
      <c r="A123" s="195"/>
      <c r="B123" s="37" t="s">
        <v>56</v>
      </c>
      <c r="C123" s="60">
        <v>209.28572082519531</v>
      </c>
      <c r="D123" s="60">
        <v>104.46153963529147</v>
      </c>
      <c r="E123" s="60">
        <v>84.714286804199219</v>
      </c>
      <c r="F123" s="61">
        <v>136.30769348144531</v>
      </c>
    </row>
    <row r="124" spans="1:15" ht="18" customHeight="1" x14ac:dyDescent="0.2">
      <c r="A124" s="195"/>
      <c r="B124" s="37" t="s">
        <v>57</v>
      </c>
      <c r="C124" s="60">
        <v>383.23867797851563</v>
      </c>
      <c r="D124" s="60">
        <v>242.7899169921875</v>
      </c>
      <c r="E124" s="60">
        <v>195.37344360351563</v>
      </c>
      <c r="F124" s="61">
        <v>279.682861328125</v>
      </c>
    </row>
    <row r="125" spans="1:15" ht="18" customHeight="1" x14ac:dyDescent="0.2">
      <c r="A125" s="195"/>
      <c r="B125" s="37" t="s">
        <v>58</v>
      </c>
      <c r="C125" s="33">
        <v>455.4012451171875</v>
      </c>
      <c r="D125" s="33">
        <v>316.19090036245495</v>
      </c>
      <c r="E125" s="33">
        <v>141.42300415039063</v>
      </c>
      <c r="F125" s="62">
        <v>300.2158203125</v>
      </c>
    </row>
    <row r="126" spans="1:15" ht="18" customHeight="1" x14ac:dyDescent="0.2">
      <c r="A126" s="195"/>
      <c r="B126" s="37" t="s">
        <v>63</v>
      </c>
      <c r="C126" s="33">
        <f ca="1">1436.399375*OFFSET($L$112,MATCH($N$1,$C$112:$C$113,0)-1,0)</f>
        <v>1436.399375</v>
      </c>
      <c r="D126" s="33">
        <f ca="1">719.480932692308*OFFSET($L$112,MATCH($N$1,$C$112:$C$113,0)-1,0)</f>
        <v>719.48093269230799</v>
      </c>
      <c r="E126" s="33">
        <f ca="1">222.023546875*OFFSET($L$112,MATCH($N$1,$C$112:$C$113,0)-1,0)</f>
        <v>222.02354687499999</v>
      </c>
      <c r="F126" s="62">
        <f ca="1">521.75*OFFSET($L$112,MATCH($N$1,$C$112:$C$113,0)-1,0)</f>
        <v>521.75</v>
      </c>
    </row>
    <row r="127" spans="1:15" ht="18" customHeight="1" x14ac:dyDescent="0.2">
      <c r="A127" s="195"/>
      <c r="B127" s="37" t="s">
        <v>60</v>
      </c>
      <c r="C127" s="60">
        <v>176.71427917480469</v>
      </c>
      <c r="D127" s="60">
        <v>176.15384498009314</v>
      </c>
      <c r="E127" s="60">
        <v>141</v>
      </c>
      <c r="F127" s="61">
        <v>160.07691955566406</v>
      </c>
    </row>
    <row r="128" spans="1:15" ht="18" customHeight="1" x14ac:dyDescent="0.2">
      <c r="A128" s="195"/>
      <c r="B128" s="37" t="s">
        <v>64</v>
      </c>
      <c r="C128" s="60">
        <v>39.285713195800781</v>
      </c>
      <c r="D128" s="60">
        <v>28.384615678053635</v>
      </c>
      <c r="E128" s="60">
        <v>42.285713195800781</v>
      </c>
      <c r="F128" s="61">
        <v>35.192306518554688</v>
      </c>
    </row>
    <row r="129" spans="1:15" ht="18" customHeight="1" x14ac:dyDescent="0.2">
      <c r="A129" s="195"/>
      <c r="B129" s="37" t="s">
        <v>65</v>
      </c>
      <c r="C129" s="63">
        <v>2.5770483016967773</v>
      </c>
      <c r="D129" s="63">
        <v>1.794970188690387</v>
      </c>
      <c r="E129" s="63">
        <v>1.003000020980835</v>
      </c>
      <c r="F129" s="64">
        <v>1.8754472732543945</v>
      </c>
    </row>
    <row r="130" spans="1:15" ht="18" customHeight="1" x14ac:dyDescent="0.2">
      <c r="A130" s="196"/>
      <c r="B130" s="39" t="s">
        <v>28</v>
      </c>
      <c r="C130" s="40">
        <f ca="1">3154.14020141815*OFFSET($L$112,MATCH($N$1,$C$112:$C$113,0)-1,0)</f>
        <v>3154.1402014181499</v>
      </c>
      <c r="D130" s="40">
        <f ca="1">2275.46375264928*OFFSET($L$112,MATCH($N$1,$C$112:$C$113,0)-1,0)</f>
        <v>2275.4637526492802</v>
      </c>
      <c r="E130" s="40">
        <f ca="1">1569.92526222182*OFFSET($L$112,MATCH($N$1,$C$112:$C$113,0)-1,0)</f>
        <v>1569.92526222182</v>
      </c>
      <c r="F130" s="65">
        <f ca="1">1738*OFFSET($L$112,MATCH($N$1,$C$112:$C$113,0)-1,0)</f>
        <v>1738</v>
      </c>
    </row>
    <row r="131" spans="1:15" ht="18" customHeight="1" x14ac:dyDescent="0.2">
      <c r="A131" s="205" t="s">
        <v>29</v>
      </c>
      <c r="B131" s="35" t="s">
        <v>66</v>
      </c>
      <c r="C131" s="66">
        <v>4.9377383733119302</v>
      </c>
      <c r="D131" s="66">
        <v>5.7565497130875478</v>
      </c>
      <c r="E131" s="66">
        <v>3.6496527708822857</v>
      </c>
      <c r="F131" s="67">
        <v>4.661889602591506</v>
      </c>
    </row>
    <row r="132" spans="1:15" ht="18" customHeight="1" x14ac:dyDescent="0.2">
      <c r="A132" s="206"/>
      <c r="B132" s="37" t="s">
        <v>67</v>
      </c>
      <c r="C132" s="63">
        <f ca="1">15.5743191073482*OFFSET($L$112,MATCH($N$1,$C$112:$C$113,0)-1,0)</f>
        <v>15.574319107348201</v>
      </c>
      <c r="D132" s="63">
        <f ca="1">13.0988202124544*OFFSET($L$112,MATCH($N$1,$C$112:$C$113,0)-1,0)</f>
        <v>13.098820212454401</v>
      </c>
      <c r="E132" s="63">
        <f ca="1">5.72968208334598*OFFSET($L$112,MATCH($N$1,$C$112:$C$113,0)-1,0)</f>
        <v>5.7296820833459803</v>
      </c>
      <c r="F132" s="64">
        <f ca="1">8.10197443166137*OFFSET($L$112,MATCH($N$1,$C$112:$C$113,0)-1,0)</f>
        <v>8.10197443166137</v>
      </c>
    </row>
    <row r="133" spans="1:15" ht="18" customHeight="1" x14ac:dyDescent="0.2">
      <c r="A133" s="206"/>
      <c r="B133" s="37" t="s">
        <v>11</v>
      </c>
      <c r="C133" s="63">
        <f ca="1">13.1785412876871*OFFSET($L$112,MATCH($N$1,$C$112:$C$113,0)-1,0)</f>
        <v>13.1785412876871</v>
      </c>
      <c r="D133" s="63">
        <f ca="1">11.5264601242818*OFFSET($L$112,MATCH($N$1,$C$112:$C$113,0)-1,0)</f>
        <v>11.526460124281799</v>
      </c>
      <c r="E133" s="63">
        <f ca="1">5.50220636704282*OFFSET($L$112,MATCH($N$1,$C$112:$C$113,0)-1,0)</f>
        <v>5.5022063670428203</v>
      </c>
      <c r="F133" s="64">
        <f ca="1">7.28106404895638*OFFSET($L$112,MATCH($N$1,$C$112:$C$113,0)-1,0)</f>
        <v>7.28106404895638</v>
      </c>
    </row>
    <row r="134" spans="1:15" ht="18" customHeight="1" x14ac:dyDescent="0.2">
      <c r="A134" s="207"/>
      <c r="B134" s="39" t="s">
        <v>12</v>
      </c>
      <c r="C134" s="68">
        <f ca="1">2.39577781966113*OFFSET($L$112,MATCH($N$1,$C$112:$C$113,0)-1,0)</f>
        <v>2.3957778196611299</v>
      </c>
      <c r="D134" s="68">
        <f ca="1">1.5723600881725*OFFSET($L$112,MATCH($N$1,$C$112:$C$113,0)-1,0)</f>
        <v>1.5723600881724999</v>
      </c>
      <c r="E134" s="68">
        <f ca="1">0.227475716303154*OFFSET($L$112,MATCH($N$1,$C$112:$C$113,0)-1,0)</f>
        <v>0.227475716303154</v>
      </c>
      <c r="F134" s="69">
        <f ca="1">0.820910382704983*OFFSET($L$112,MATCH($N$1,$C$112:$C$113,0)-1,0)</f>
        <v>0.82091038270498295</v>
      </c>
    </row>
    <row r="135" spans="1:15" ht="18" customHeight="1" x14ac:dyDescent="0.2">
      <c r="A135" s="208" t="s">
        <v>49</v>
      </c>
      <c r="B135" s="37" t="s">
        <v>109</v>
      </c>
      <c r="C135" s="70">
        <f ca="1">52.26015234375*OFFSET($L$112,MATCH($N$1,$C$112:$C$113,0)-1,0)</f>
        <v>52.260152343750001</v>
      </c>
      <c r="D135" s="70">
        <f ca="1">50.4882268629808*OFFSET($L$112,MATCH($N$1,$C$112:$C$113,0)-1,0)</f>
        <v>50.488226862980802</v>
      </c>
      <c r="E135" s="70">
        <f ca="1">33.41679296875*OFFSET($L$112,MATCH($N$1,$C$112:$C$113,0)-1,0)</f>
        <v>33.416792968750002</v>
      </c>
      <c r="F135" s="71">
        <f ca="1">32.052119140625*OFFSET($L$112,MATCH($N$1,$C$112:$C$113,0)-1,0)</f>
        <v>32.052119140625003</v>
      </c>
    </row>
    <row r="136" spans="1:15" ht="18" customHeight="1" x14ac:dyDescent="0.2">
      <c r="A136" s="209"/>
      <c r="B136" s="37" t="s">
        <v>110</v>
      </c>
      <c r="C136" s="31">
        <v>100714.28247553855</v>
      </c>
      <c r="D136" s="31">
        <v>97000.002822490409</v>
      </c>
      <c r="E136" s="31">
        <v>64314.287658691406</v>
      </c>
      <c r="F136" s="72">
        <v>86600</v>
      </c>
    </row>
    <row r="137" spans="1:15" ht="18" customHeight="1" x14ac:dyDescent="0.2">
      <c r="A137" s="209"/>
      <c r="B137" s="37" t="s">
        <v>111</v>
      </c>
      <c r="C137" s="31">
        <v>569.92724609375</v>
      </c>
      <c r="D137" s="31">
        <v>550.65504152607184</v>
      </c>
      <c r="E137" s="31">
        <v>456.12969970703125</v>
      </c>
      <c r="F137" s="72">
        <v>540.98992919921875</v>
      </c>
    </row>
    <row r="138" spans="1:15" ht="18" customHeight="1" x14ac:dyDescent="0.2">
      <c r="A138" s="209"/>
      <c r="B138" s="37" t="s">
        <v>112</v>
      </c>
      <c r="C138" s="31">
        <f ca="1">295.732481765407*OFFSET($L$112,MATCH($N$1,$C$112:$C$113,0)-1,0)</f>
        <v>295.73248176540699</v>
      </c>
      <c r="D138" s="31">
        <f ca="1">286.614390214908*OFFSET($L$112,MATCH($N$1,$C$112:$C$113,0)-1,0)</f>
        <v>286.61439021490798</v>
      </c>
      <c r="E138" s="31">
        <f ca="1">236.998531693262*OFFSET($L$112,MATCH($N$1,$C$112:$C$113,0)-1,0)</f>
        <v>236.99853169326201</v>
      </c>
      <c r="F138" s="72">
        <f ca="1">200.229484860117*OFFSET($L$112,MATCH($N$1,$C$112:$C$113,0)-1,0)</f>
        <v>200.229484860117</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114.756279004687*OFFSET($L$112,MATCH($N$1,$C$112:$C$113,0)-1,0)</f>
        <v>114.756279004687</v>
      </c>
      <c r="D139" s="31">
        <f ca="1">159.676406895661*OFFSET($L$112,MATCH($N$1,$C$112:$C$113,0)-1,0)</f>
        <v>159.67640689566099</v>
      </c>
      <c r="E139" s="31">
        <f ca="1">236.289655770671*OFFSET($L$112,MATCH($N$1,$C$112:$C$113,0)-1,0)</f>
        <v>236.289655770671</v>
      </c>
      <c r="F139" s="72">
        <f ca="1">106.763591296626*OFFSET($L$112,MATCH($N$1,$C$112:$C$113,0)-1,0)</f>
        <v>106.763591296626</v>
      </c>
      <c r="I139" s="48"/>
      <c r="K139" s="73" t="s">
        <v>114</v>
      </c>
      <c r="L139" s="74">
        <f t="shared" ref="L139:M141" ca="1" si="2">C140</f>
        <v>1436.40825</v>
      </c>
      <c r="M139" s="74">
        <f t="shared" ca="1" si="2"/>
        <v>719.48530528846197</v>
      </c>
      <c r="N139" s="74">
        <f ca="1">E140</f>
        <v>222.02489062500001</v>
      </c>
      <c r="O139" s="74"/>
    </row>
    <row r="140" spans="1:15" ht="18" customHeight="1" x14ac:dyDescent="0.2">
      <c r="A140" s="187" t="s">
        <v>50</v>
      </c>
      <c r="B140" s="35" t="s">
        <v>115</v>
      </c>
      <c r="C140" s="75">
        <f ca="1">1436.40825*OFFSET($L$112,MATCH($N$1,$C$112:$C$113,0)-1,0)</f>
        <v>1436.40825</v>
      </c>
      <c r="D140" s="75">
        <f ca="1">719.485305288462*OFFSET($L$112,MATCH($N$1,$C$112:$C$113,0)-1,0)</f>
        <v>719.48530528846197</v>
      </c>
      <c r="E140" s="75">
        <f ca="1">222.024890625*OFFSET($L$112,MATCH($N$1,$C$112:$C$113,0)-1,0)</f>
        <v>222.02489062500001</v>
      </c>
      <c r="F140" s="76">
        <f ca="1">528.1665*OFFSET($L$112,MATCH($N$1,$C$112:$C$113,0)-1,0)</f>
        <v>528.16650000000004</v>
      </c>
      <c r="I140" s="48"/>
      <c r="K140" s="73" t="s">
        <v>116</v>
      </c>
      <c r="L140" s="74">
        <f t="shared" ca="1" si="2"/>
        <v>1215.44875</v>
      </c>
      <c r="M140" s="74">
        <f t="shared" ca="1" si="2"/>
        <v>633.120038461538</v>
      </c>
      <c r="N140" s="74">
        <f ca="1">E141</f>
        <v>213.21026562500001</v>
      </c>
      <c r="O140" s="74"/>
    </row>
    <row r="141" spans="1:15" ht="18" customHeight="1" x14ac:dyDescent="0.2">
      <c r="A141" s="188"/>
      <c r="B141" s="37" t="s">
        <v>117</v>
      </c>
      <c r="C141" s="31">
        <f ca="1">1215.44875*OFFSET($L$112,MATCH($N$1,$C$112:$C$113,0)-1,0)</f>
        <v>1215.44875</v>
      </c>
      <c r="D141" s="31">
        <f ca="1">633.120038461538*OFFSET($L$112,MATCH($N$1,$C$112:$C$113,0)-1,0)</f>
        <v>633.120038461538</v>
      </c>
      <c r="E141" s="31">
        <f ca="1">213.210265625*OFFSET($L$112,MATCH($N$1,$C$112:$C$113,0)-1,0)</f>
        <v>213.21026562500001</v>
      </c>
      <c r="F141" s="72">
        <f ca="1">475.30159375*OFFSET($L$112,MATCH($N$1,$C$112:$C$113,0)-1,0)</f>
        <v>475.30159374999999</v>
      </c>
      <c r="I141" s="48"/>
      <c r="K141" s="73" t="s">
        <v>118</v>
      </c>
      <c r="L141" s="74">
        <f t="shared" ca="1" si="2"/>
        <v>220.95949999999999</v>
      </c>
      <c r="M141" s="74">
        <f t="shared" ca="1" si="2"/>
        <v>86.365266826923005</v>
      </c>
      <c r="N141" s="74">
        <f ca="1">E142</f>
        <v>8.8146249999999995</v>
      </c>
      <c r="O141" s="74"/>
    </row>
    <row r="142" spans="1:15" ht="18" customHeight="1" x14ac:dyDescent="0.2">
      <c r="A142" s="189"/>
      <c r="B142" s="39" t="s">
        <v>119</v>
      </c>
      <c r="C142" s="40">
        <f ca="1">220.9595*OFFSET($L$112,MATCH($N$1,$C$112:$C$113,0)-1,0)</f>
        <v>220.95949999999999</v>
      </c>
      <c r="D142" s="40">
        <f ca="1">86.365266826923*OFFSET($L$112,MATCH($N$1,$C$112:$C$113,0)-1,0)</f>
        <v>86.365266826923005</v>
      </c>
      <c r="E142" s="40">
        <f ca="1">8.814625*OFFSET($L$112,MATCH($N$1,$C$112:$C$113,0)-1,0)</f>
        <v>8.8146249999999995</v>
      </c>
      <c r="F142" s="65">
        <f ca="1">52.864890625*OFFSET($L$112,MATCH($N$1,$C$112:$C$113,0)-1,0)</f>
        <v>52.864890625000001</v>
      </c>
      <c r="I142" s="48"/>
      <c r="K142" s="73" t="s">
        <v>120</v>
      </c>
      <c r="L142" s="77">
        <f ca="1">IFERROR(L140/L$139,"")</f>
        <v>0.84617221461934655</v>
      </c>
      <c r="M142" s="77">
        <f t="shared" ref="M142:N143" ca="1" si="3">IFERROR(M140/M$139,"")</f>
        <v>0.87996243121004714</v>
      </c>
      <c r="N142" s="77">
        <f t="shared" ca="1" si="3"/>
        <v>0.96029893326290205</v>
      </c>
      <c r="O142" s="77"/>
    </row>
    <row r="143" spans="1:15" ht="18" customHeight="1" x14ac:dyDescent="0.2">
      <c r="I143" s="48"/>
      <c r="K143" s="73" t="s">
        <v>121</v>
      </c>
      <c r="L143" s="77">
        <f ca="1">IFERROR(L141/L$139,"")</f>
        <v>0.15382778538065345</v>
      </c>
      <c r="M143" s="77">
        <f t="shared" ca="1" si="3"/>
        <v>0.12003756878995149</v>
      </c>
      <c r="N143" s="77">
        <f t="shared" ca="1" si="3"/>
        <v>3.9701066737097952E-2</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11</v>
      </c>
      <c r="B161" s="53"/>
      <c r="C161" s="78" t="s">
        <v>45</v>
      </c>
      <c r="D161" s="78" t="s">
        <v>122</v>
      </c>
      <c r="E161" s="78" t="s">
        <v>47</v>
      </c>
      <c r="F161" s="78" t="s">
        <v>123</v>
      </c>
      <c r="G161" s="79">
        <v>10</v>
      </c>
      <c r="H161" s="78"/>
      <c r="I161" s="78" t="s">
        <v>45</v>
      </c>
      <c r="J161" s="78" t="s">
        <v>122</v>
      </c>
      <c r="K161" s="78" t="s">
        <v>47</v>
      </c>
      <c r="L161" s="53" t="s">
        <v>123</v>
      </c>
      <c r="R161" s="21"/>
      <c r="S161" s="21"/>
    </row>
    <row r="162" spans="1:19" s="48" customFormat="1" x14ac:dyDescent="0.2">
      <c r="A162" s="49">
        <v>1</v>
      </c>
      <c r="B162" s="53" t="s">
        <v>143</v>
      </c>
      <c r="C162" s="53">
        <v>0</v>
      </c>
      <c r="D162" s="53">
        <v>0.51494736501014948</v>
      </c>
      <c r="E162" s="53">
        <v>0.61470654786619872</v>
      </c>
      <c r="F162" s="49">
        <v>12153634</v>
      </c>
      <c r="G162" s="49">
        <v>1</v>
      </c>
      <c r="H162" s="53" t="s">
        <v>143</v>
      </c>
      <c r="I162" s="53">
        <v>0</v>
      </c>
      <c r="J162" s="53">
        <v>0.50766257683082006</v>
      </c>
      <c r="K162" s="53">
        <v>0.510955141020356</v>
      </c>
      <c r="L162" s="49">
        <v>12153634</v>
      </c>
      <c r="R162" s="21"/>
      <c r="S162" s="21"/>
    </row>
    <row r="163" spans="1:19" s="48" customFormat="1" x14ac:dyDescent="0.2">
      <c r="A163" s="49">
        <v>2</v>
      </c>
      <c r="B163" s="53" t="s">
        <v>99</v>
      </c>
      <c r="C163" s="53">
        <v>8.6557578697191075E-3</v>
      </c>
      <c r="D163" s="53">
        <v>0.29457861471851815</v>
      </c>
      <c r="E163" s="53">
        <v>0.18296075989997498</v>
      </c>
      <c r="F163" s="49">
        <v>553960</v>
      </c>
      <c r="G163" s="49">
        <v>2</v>
      </c>
      <c r="H163" s="53" t="s">
        <v>99</v>
      </c>
      <c r="I163" s="53">
        <v>9.8895369367401221E-3</v>
      </c>
      <c r="J163" s="53">
        <v>0.33208800126626842</v>
      </c>
      <c r="K163" s="53">
        <v>0.23497998766160194</v>
      </c>
      <c r="L163" s="49">
        <v>553960</v>
      </c>
      <c r="N163" s="48" t="s">
        <v>124</v>
      </c>
      <c r="R163" s="21"/>
      <c r="S163" s="21"/>
    </row>
    <row r="164" spans="1:19" s="48" customFormat="1" x14ac:dyDescent="0.2">
      <c r="A164" s="49">
        <v>3</v>
      </c>
      <c r="B164" s="53" t="s">
        <v>101</v>
      </c>
      <c r="C164" s="53">
        <v>8.175961480138565E-3</v>
      </c>
      <c r="D164" s="53">
        <v>8.6284653096749361E-2</v>
      </c>
      <c r="E164" s="53">
        <v>0.11249532005873961</v>
      </c>
      <c r="F164" s="49">
        <v>3050596</v>
      </c>
      <c r="G164" s="49">
        <v>3</v>
      </c>
      <c r="H164" s="53" t="s">
        <v>101</v>
      </c>
      <c r="I164" s="53">
        <v>7.2471649819289092E-3</v>
      </c>
      <c r="J164" s="53">
        <v>7.40285939453032E-2</v>
      </c>
      <c r="K164" s="53">
        <v>0.13242137444248475</v>
      </c>
      <c r="L164" s="49">
        <v>3050596</v>
      </c>
      <c r="N164" s="48" t="s">
        <v>125</v>
      </c>
      <c r="R164" s="21"/>
      <c r="S164" s="21"/>
    </row>
    <row r="165" spans="1:19" s="48" customFormat="1" x14ac:dyDescent="0.2">
      <c r="A165" s="49">
        <v>4</v>
      </c>
      <c r="B165" s="53" t="s">
        <v>20</v>
      </c>
      <c r="C165" s="53">
        <v>0</v>
      </c>
      <c r="D165" s="53">
        <v>2.9772105453560193E-2</v>
      </c>
      <c r="E165" s="53">
        <v>3.11312832898696E-2</v>
      </c>
      <c r="F165" s="49">
        <v>11115023</v>
      </c>
      <c r="G165" s="49">
        <v>4</v>
      </c>
      <c r="H165" s="53" t="s">
        <v>20</v>
      </c>
      <c r="I165" s="53">
        <v>0</v>
      </c>
      <c r="J165" s="53">
        <v>2.5188045335201234E-2</v>
      </c>
      <c r="K165" s="53">
        <v>3.0803388540517881E-2</v>
      </c>
      <c r="L165" s="49">
        <v>11115023</v>
      </c>
      <c r="R165" s="21"/>
      <c r="S165" s="21"/>
    </row>
    <row r="166" spans="1:19" s="48" customFormat="1" x14ac:dyDescent="0.2">
      <c r="A166" s="49">
        <v>5</v>
      </c>
      <c r="B166" s="53" t="s">
        <v>210</v>
      </c>
      <c r="C166" s="53">
        <v>0</v>
      </c>
      <c r="D166" s="53">
        <v>2.17128585533015E-2</v>
      </c>
      <c r="E166" s="53">
        <v>0</v>
      </c>
      <c r="F166" s="49">
        <v>2480382</v>
      </c>
      <c r="G166" s="49">
        <v>5</v>
      </c>
      <c r="H166" s="53" t="s">
        <v>147</v>
      </c>
      <c r="I166" s="53">
        <v>0</v>
      </c>
      <c r="J166" s="53">
        <v>2.3767140835667337E-2</v>
      </c>
      <c r="K166" s="53">
        <v>5.7383701271102087E-2</v>
      </c>
      <c r="L166" s="49">
        <v>3689192</v>
      </c>
      <c r="R166" s="21"/>
      <c r="S166" s="21"/>
    </row>
    <row r="167" spans="1:19" s="48" customFormat="1" x14ac:dyDescent="0.2">
      <c r="A167" s="49">
        <v>6</v>
      </c>
      <c r="B167" s="53" t="s">
        <v>147</v>
      </c>
      <c r="C167" s="53">
        <v>0</v>
      </c>
      <c r="D167" s="53">
        <v>0</v>
      </c>
      <c r="E167" s="53">
        <v>1.5859911889672503E-2</v>
      </c>
      <c r="F167" s="49">
        <v>3689192</v>
      </c>
      <c r="G167" s="49">
        <v>6</v>
      </c>
      <c r="H167" s="53" t="s">
        <v>196</v>
      </c>
      <c r="I167" s="53">
        <v>7.1850454421612392E-2</v>
      </c>
      <c r="J167" s="53">
        <v>0</v>
      </c>
      <c r="K167" s="53">
        <v>0</v>
      </c>
      <c r="L167" s="49">
        <v>1692097</v>
      </c>
      <c r="R167" s="21"/>
      <c r="S167" s="21"/>
    </row>
    <row r="168" spans="1:19" s="48" customFormat="1" x14ac:dyDescent="0.2">
      <c r="A168" s="49">
        <v>7</v>
      </c>
      <c r="B168" s="53" t="s">
        <v>196</v>
      </c>
      <c r="C168" s="53">
        <v>0.7323582490175583</v>
      </c>
      <c r="D168" s="53">
        <v>0</v>
      </c>
      <c r="E168" s="53">
        <v>0</v>
      </c>
      <c r="F168" s="49">
        <v>1692097</v>
      </c>
      <c r="G168" s="49">
        <v>7</v>
      </c>
      <c r="H168" s="53" t="s">
        <v>211</v>
      </c>
      <c r="I168" s="53">
        <v>1.7641744220652546E-2</v>
      </c>
      <c r="J168" s="53">
        <v>0</v>
      </c>
      <c r="K168" s="53">
        <v>0</v>
      </c>
      <c r="L168" s="49">
        <v>14393110</v>
      </c>
      <c r="R168" s="21"/>
      <c r="S168" s="21"/>
    </row>
    <row r="169" spans="1:19" s="48" customFormat="1" x14ac:dyDescent="0.2">
      <c r="A169" s="49">
        <v>8</v>
      </c>
      <c r="B169" s="53" t="s">
        <v>212</v>
      </c>
      <c r="C169" s="53">
        <v>1.6608274520604011E-2</v>
      </c>
      <c r="D169" s="53">
        <v>0</v>
      </c>
      <c r="E169" s="53">
        <v>0</v>
      </c>
      <c r="F169" s="49">
        <v>7434864</v>
      </c>
      <c r="G169" s="49">
        <v>8</v>
      </c>
      <c r="H169" s="53" t="s">
        <v>144</v>
      </c>
      <c r="I169" s="53">
        <v>4.3472429104630551E-3</v>
      </c>
      <c r="J169" s="53">
        <v>0</v>
      </c>
      <c r="K169" s="53">
        <v>0</v>
      </c>
      <c r="L169" s="49">
        <v>2887140</v>
      </c>
      <c r="R169" s="21"/>
      <c r="S169" s="21"/>
    </row>
    <row r="170" spans="1:19" s="48" customFormat="1" x14ac:dyDescent="0.2">
      <c r="A170" s="49">
        <v>9</v>
      </c>
      <c r="B170" s="53" t="s">
        <v>213</v>
      </c>
      <c r="C170" s="53">
        <v>2.0380771145854138E-3</v>
      </c>
      <c r="D170" s="53">
        <v>0</v>
      </c>
      <c r="E170" s="53">
        <v>0</v>
      </c>
      <c r="F170" s="49">
        <v>8497745</v>
      </c>
      <c r="G170" s="49">
        <v>9</v>
      </c>
      <c r="H170" s="53" t="s">
        <v>107</v>
      </c>
      <c r="I170" s="53">
        <v>0.88902385652860294</v>
      </c>
      <c r="J170" s="53">
        <v>3.7265641786739856E-2</v>
      </c>
      <c r="K170" s="53">
        <v>3.3456407063937377E-2</v>
      </c>
      <c r="L170" s="49">
        <v>5920853</v>
      </c>
      <c r="R170" s="21"/>
      <c r="S170" s="21"/>
    </row>
    <row r="171" spans="1:19" s="48" customFormat="1" x14ac:dyDescent="0.2">
      <c r="A171" s="49">
        <v>10</v>
      </c>
      <c r="B171" s="53" t="s">
        <v>107</v>
      </c>
      <c r="C171" s="53">
        <v>0.23216367999739473</v>
      </c>
      <c r="D171" s="53">
        <v>5.2704403167721292E-2</v>
      </c>
      <c r="E171" s="53">
        <v>4.2846176995544605E-2</v>
      </c>
      <c r="F171" s="49">
        <v>5920853</v>
      </c>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9A01D6E4-BFEB-4094-ADE0-2BC1B72E9736}">
      <formula1>$C$112:$C$113</formula1>
    </dataValidation>
  </dataValidations>
  <hyperlinks>
    <hyperlink ref="O1:P1" location="Home_page" display="Back to home page" xr:uid="{3A15C441-AEE4-4B54-BBCA-DF5DA8A2991F}"/>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55FBFD01-DA9A-461A-9EBF-79AFE26D7C11}">
          <x14:colorSeries rgb="FF323232"/>
          <x14:colorNegative rgb="FFD00000"/>
          <x14:colorAxis rgb="FF000000"/>
          <x14:colorMarkers rgb="FFD00000"/>
          <x14:colorFirst rgb="FFD00000"/>
          <x14:colorLast rgb="FFD00000"/>
          <x14:colorHigh rgb="FFD00000"/>
          <x14:colorLow rgb="FFD00000"/>
          <x14:sparklines>
            <x14:sparkline>
              <xm:f>'Gill netters'!D3:N3</xm:f>
              <xm:sqref>C3</xm:sqref>
            </x14:sparkline>
            <x14:sparkline>
              <xm:f>'Gill netters'!D4:N4</xm:f>
              <xm:sqref>C4</xm:sqref>
            </x14:sparkline>
            <x14:sparkline>
              <xm:f>'Gill netters'!D5:N5</xm:f>
              <xm:sqref>C5</xm:sqref>
            </x14:sparkline>
            <x14:sparkline>
              <xm:f>'Gill netters'!D6:N6</xm:f>
              <xm:sqref>C6</xm:sqref>
            </x14:sparkline>
            <x14:sparkline>
              <xm:f>'Gill netters'!D7:N7</xm:f>
              <xm:sqref>C7</xm:sqref>
            </x14:sparkline>
            <x14:sparkline>
              <xm:f>'Gill netters'!D8:N8</xm:f>
              <xm:sqref>C8</xm:sqref>
            </x14:sparkline>
            <x14:sparkline>
              <xm:f>'Gill netters'!D9:N9</xm:f>
              <xm:sqref>C9</xm:sqref>
            </x14:sparkline>
            <x14:sparkline>
              <xm:f>'Gill netters'!D10:N10</xm:f>
              <xm:sqref>C10</xm:sqref>
            </x14:sparkline>
            <x14:sparkline>
              <xm:f>'Gill netters'!D11:N11</xm:f>
              <xm:sqref>C11</xm:sqref>
            </x14:sparkline>
            <x14:sparkline>
              <xm:f>'Gill netters'!D12:N12</xm:f>
              <xm:sqref>C12</xm:sqref>
            </x14:sparkline>
            <x14:sparkline>
              <xm:f>'Gill netters'!D13:N13</xm:f>
              <xm:sqref>C13</xm:sqref>
            </x14:sparkline>
            <x14:sparkline>
              <xm:f>'Gill netters'!D14:N14</xm:f>
              <xm:sqref>C14</xm:sqref>
            </x14:sparkline>
            <x14:sparkline>
              <xm:f>'Gill netters'!D15:N15</xm:f>
              <xm:sqref>C15</xm:sqref>
            </x14:sparkline>
            <x14:sparkline>
              <xm:f>'Gill netters'!D16:N16</xm:f>
              <xm:sqref>C16</xm:sqref>
            </x14:sparkline>
            <x14:sparkline>
              <xm:f>'Gill netters'!D17:N17</xm:f>
              <xm:sqref>C17</xm:sqref>
            </x14:sparkline>
            <x14:sparkline>
              <xm:f>'Gill netters'!D18:N18</xm:f>
              <xm:sqref>C18</xm:sqref>
            </x14:sparkline>
            <x14:sparkline>
              <xm:f>'Gill netters'!D19:N19</xm:f>
              <xm:sqref>C19</xm:sqref>
            </x14:sparkline>
            <x14:sparkline>
              <xm:f>'Gill netters'!D20:N20</xm:f>
              <xm:sqref>C20</xm:sqref>
            </x14:sparkline>
            <x14:sparkline>
              <xm:f>'Gill netters'!D21:N21</xm:f>
              <xm:sqref>C21</xm:sqref>
            </x14:sparkline>
            <x14:sparkline>
              <xm:f>'Gill netters'!D22:N22</xm:f>
              <xm:sqref>C22</xm:sqref>
            </x14:sparkline>
            <x14:sparkline>
              <xm:f>'Gill netters'!D23:N23</xm:f>
              <xm:sqref>C23</xm:sqref>
            </x14:sparkline>
            <x14:sparkline>
              <xm:f>'Gill netters'!D24:N24</xm:f>
              <xm:sqref>C24</xm:sqref>
            </x14:sparkline>
            <x14:sparkline>
              <xm:f>'Gill netters'!D25:N25</xm:f>
              <xm:sqref>C25</xm:sqref>
            </x14:sparkline>
            <x14:sparkline>
              <xm:f>'Gill netters'!D26:N26</xm:f>
              <xm:sqref>C26</xm:sqref>
            </x14:sparkline>
            <x14:sparkline>
              <xm:f>'Gill netters'!D27:N27</xm:f>
              <xm:sqref>C27</xm:sqref>
            </x14:sparkline>
            <x14:sparkline>
              <xm:f>'Gill netters'!D28:N28</xm:f>
              <xm:sqref>C28</xm:sqref>
            </x14:sparkline>
            <x14:sparkline>
              <xm:f>'Gill netters'!D29:N29</xm:f>
              <xm:sqref>C29</xm:sqref>
            </x14:sparkline>
            <x14:sparkline>
              <xm:f>'Gill netters'!D30:N30</xm:f>
              <xm:sqref>C30</xm:sqref>
            </x14:sparkline>
            <x14:sparkline>
              <xm:f>'Gill netters'!D31:N31</xm:f>
              <xm:sqref>C31</xm:sqref>
            </x14:sparkline>
            <x14:sparkline>
              <xm:f>'Gill netters'!D32:N32</xm:f>
              <xm:sqref>C32</xm:sqref>
            </x14:sparkline>
            <x14:sparkline>
              <xm:f>'Gill netters'!D33:N33</xm:f>
              <xm:sqref>C33</xm:sqref>
            </x14:sparkline>
            <x14:sparkline>
              <xm:f>'Gill netters'!D34:N34</xm:f>
              <xm:sqref>C34</xm:sqref>
            </x14:sparkline>
            <x14:sparkline>
              <xm:f>'Gill netters'!D35:N35</xm:f>
              <xm:sqref>C35</xm:sqref>
            </x14:sparkline>
            <x14:sparkline>
              <xm:f>'Gill netters'!D36:N36</xm:f>
              <xm:sqref>C36</xm:sqref>
            </x14:sparkline>
            <x14:sparkline>
              <xm:f>'Gill netters'!D37:N37</xm:f>
              <xm:sqref>C37</xm:sqref>
            </x14:sparkline>
            <x14:sparkline>
              <xm:f>'Gill netters'!D38:N38</xm:f>
              <xm:sqref>C38</xm:sqref>
            </x14:sparkline>
            <x14:sparkline>
              <xm:f>'Gill netters'!D39:N39</xm:f>
              <xm:sqref>C39</xm:sqref>
            </x14:sparkline>
            <x14:sparkline>
              <xm:f>'Gill netters'!D40:N40</xm:f>
              <xm:sqref>C40</xm:sqref>
            </x14:sparkline>
            <x14:sparkline>
              <xm:f>'Gill netters'!D41:N41</xm:f>
              <xm:sqref>C41</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45BAC-3296-4E17-BA84-D582B4673439}">
  <sheetPr codeName="Feuil13">
    <pageSetUpPr fitToPage="1"/>
  </sheetPr>
  <dimension ref="A1:S192"/>
  <sheetViews>
    <sheetView topLeftCell="A2"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214</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19</v>
      </c>
      <c r="E3" s="28">
        <v>25</v>
      </c>
      <c r="F3" s="28">
        <v>25</v>
      </c>
      <c r="G3" s="28">
        <v>27</v>
      </c>
      <c r="H3" s="28">
        <v>23</v>
      </c>
      <c r="I3" s="28">
        <v>26</v>
      </c>
      <c r="J3" s="28">
        <v>28</v>
      </c>
      <c r="K3" s="28">
        <v>30</v>
      </c>
      <c r="L3" s="28">
        <v>31</v>
      </c>
      <c r="M3" s="28">
        <v>26</v>
      </c>
      <c r="N3" s="28">
        <v>26</v>
      </c>
      <c r="O3" s="29">
        <f t="shared" ref="O3:O41" si="0">IF(N3=0,"",IFERROR(IF(AND(N3&gt;0,D3&lt;0),"na",IF(AND(N3&lt;0,D3&lt;0),-1,1)*(N3-D3)/D3),""))</f>
        <v>0.36842105263157893</v>
      </c>
      <c r="P3" s="29">
        <f t="shared" ref="P3:P41" si="1">IF(N3=0,"",IFERROR(IF(AND(N3&gt;0,J3&lt;0),"na",IF(AND(N3&lt;0,J3&lt;0),-1,1)*(N3-J3)/J3),""))</f>
        <v>-7.1428571428571425E-2</v>
      </c>
    </row>
    <row r="4" spans="1:17" ht="18" customHeight="1" x14ac:dyDescent="0.2">
      <c r="A4" s="193"/>
      <c r="B4" s="30" t="s">
        <v>55</v>
      </c>
      <c r="C4" s="31"/>
      <c r="D4" s="31">
        <v>5942</v>
      </c>
      <c r="E4" s="31">
        <v>6819</v>
      </c>
      <c r="F4" s="31">
        <v>6770</v>
      </c>
      <c r="G4" s="31">
        <v>7894</v>
      </c>
      <c r="H4" s="31">
        <v>7783</v>
      </c>
      <c r="I4" s="31">
        <v>9180</v>
      </c>
      <c r="J4" s="31">
        <v>9568</v>
      </c>
      <c r="K4" s="31">
        <v>9579</v>
      </c>
      <c r="L4" s="31">
        <v>9520</v>
      </c>
      <c r="M4" s="31">
        <v>7542</v>
      </c>
      <c r="N4" s="31">
        <v>8176</v>
      </c>
      <c r="O4" s="29">
        <f t="shared" si="0"/>
        <v>0.3759676876472568</v>
      </c>
      <c r="P4" s="29">
        <f t="shared" si="1"/>
        <v>-0.14548494983277591</v>
      </c>
    </row>
    <row r="5" spans="1:17" ht="18" customHeight="1" x14ac:dyDescent="0.2">
      <c r="A5" s="193"/>
      <c r="B5" s="30" t="s">
        <v>56</v>
      </c>
      <c r="C5" s="31"/>
      <c r="D5" s="31">
        <v>2320</v>
      </c>
      <c r="E5" s="31">
        <v>2608</v>
      </c>
      <c r="F5" s="31">
        <v>2387</v>
      </c>
      <c r="G5" s="31">
        <v>3071</v>
      </c>
      <c r="H5" s="31">
        <v>3013</v>
      </c>
      <c r="I5" s="31">
        <v>3503</v>
      </c>
      <c r="J5" s="31">
        <v>3527</v>
      </c>
      <c r="K5" s="31">
        <v>3830</v>
      </c>
      <c r="L5" s="31">
        <v>3654</v>
      </c>
      <c r="M5" s="31">
        <v>3143</v>
      </c>
      <c r="N5" s="31">
        <v>3403.090087890625</v>
      </c>
      <c r="O5" s="29">
        <f t="shared" si="0"/>
        <v>0.46684917581492458</v>
      </c>
      <c r="P5" s="29">
        <f t="shared" si="1"/>
        <v>-3.5131815171356676E-2</v>
      </c>
      <c r="Q5" s="32"/>
    </row>
    <row r="6" spans="1:17" ht="18" customHeight="1" x14ac:dyDescent="0.2">
      <c r="A6" s="193"/>
      <c r="B6" s="30" t="s">
        <v>57</v>
      </c>
      <c r="C6" s="31"/>
      <c r="D6" s="31">
        <v>5226.81201171875</v>
      </c>
      <c r="E6" s="31">
        <v>6046.2841796875</v>
      </c>
      <c r="F6" s="31">
        <v>5818.54248046875</v>
      </c>
      <c r="G6" s="31">
        <v>6875.6357421875</v>
      </c>
      <c r="H6" s="31">
        <v>6544.40869140625</v>
      </c>
      <c r="I6" s="31">
        <v>7697.81884765625</v>
      </c>
      <c r="J6" s="31">
        <v>7968.837890625</v>
      </c>
      <c r="K6" s="31">
        <v>8270.0146484375</v>
      </c>
      <c r="L6" s="31">
        <v>7986.50341796875</v>
      </c>
      <c r="M6" s="31">
        <v>6623.48876953125</v>
      </c>
      <c r="N6" s="31">
        <v>7150.3154296875</v>
      </c>
      <c r="O6" s="29">
        <f t="shared" si="0"/>
        <v>0.36800700190788727</v>
      </c>
      <c r="P6" s="29">
        <f t="shared" si="1"/>
        <v>-0.10271541122708205</v>
      </c>
    </row>
    <row r="7" spans="1:17" ht="18" customHeight="1" x14ac:dyDescent="0.2">
      <c r="A7" s="193"/>
      <c r="B7" s="30" t="s">
        <v>58</v>
      </c>
      <c r="C7" s="31"/>
      <c r="D7" s="31">
        <v>5627.51953125</v>
      </c>
      <c r="E7" s="31">
        <v>5765.16943359375</v>
      </c>
      <c r="F7" s="31">
        <v>5824.91650390625</v>
      </c>
      <c r="G7" s="31">
        <v>7832.70361328125</v>
      </c>
      <c r="H7" s="31">
        <v>7854.80615234375</v>
      </c>
      <c r="I7" s="31">
        <v>9186.75</v>
      </c>
      <c r="J7" s="31">
        <v>8254.1591796875</v>
      </c>
      <c r="K7" s="31">
        <v>6210.29736328125</v>
      </c>
      <c r="L7" s="31">
        <v>5381.28369140625</v>
      </c>
      <c r="M7" s="31">
        <v>3605.552001953125</v>
      </c>
      <c r="N7" s="31">
        <v>4084.822998046875</v>
      </c>
      <c r="O7" s="29">
        <f t="shared" si="0"/>
        <v>-0.27413437210416169</v>
      </c>
      <c r="P7" s="29">
        <f t="shared" si="1"/>
        <v>-0.50511943020203243</v>
      </c>
    </row>
    <row r="8" spans="1:17" ht="18" customHeight="1" x14ac:dyDescent="0.2">
      <c r="A8" s="193"/>
      <c r="B8" s="30" t="s">
        <v>59</v>
      </c>
      <c r="C8" s="33"/>
      <c r="D8" s="33">
        <f ca="1">15.086436*OFFSET(D$112,MATCH($N$1,$C$112:$C$113,0)-1,0)</f>
        <v>15.086436000000001</v>
      </c>
      <c r="E8" s="33">
        <f ca="1">17.21118*OFFSET(E$112,MATCH($N$1,$C$112:$C$113,0)-1,0)</f>
        <v>17.211179999999999</v>
      </c>
      <c r="F8" s="33">
        <f ca="1">19.724314*OFFSET(F$112,MATCH($N$1,$C$112:$C$113,0)-1,0)</f>
        <v>19.724314</v>
      </c>
      <c r="G8" s="33">
        <f ca="1">23.99126*OFFSET(G$112,MATCH($N$1,$C$112:$C$113,0)-1,0)</f>
        <v>23.99126</v>
      </c>
      <c r="H8" s="33">
        <f ca="1">26.495852*OFFSET(H$112,MATCH($N$1,$C$112:$C$113,0)-1,0)</f>
        <v>26.495851999999999</v>
      </c>
      <c r="I8" s="33">
        <f ca="1">28.05762*OFFSET(I$112,MATCH($N$1,$C$112:$C$113,0)-1,0)</f>
        <v>28.05762</v>
      </c>
      <c r="J8" s="33">
        <f ca="1">20.309256*OFFSET(J$112,MATCH($N$1,$C$112:$C$113,0)-1,0)</f>
        <v>20.309256000000001</v>
      </c>
      <c r="K8" s="33">
        <f ca="1">15.818908*OFFSET(K$112,MATCH($N$1,$C$112:$C$113,0)-1,0)</f>
        <v>15.818908</v>
      </c>
      <c r="L8" s="33">
        <f ca="1">14.010338*OFFSET(L$112,MATCH($N$1,$C$112:$C$113,0)-1,0)</f>
        <v>14.010338000000001</v>
      </c>
      <c r="M8" s="33">
        <f ca="1">7.2537615*OFFSET(M$112,MATCH($N$1,$C$112:$C$113,0)-1,0)</f>
        <v>7.2537615000000004</v>
      </c>
      <c r="N8" s="33">
        <v>8.7898750000000003</v>
      </c>
      <c r="O8" s="29">
        <f t="shared" ca="1" si="0"/>
        <v>-0.41736570519372501</v>
      </c>
      <c r="P8" s="29">
        <f t="shared" ca="1" si="1"/>
        <v>-0.56719857192208323</v>
      </c>
    </row>
    <row r="9" spans="1:17" ht="18" customHeight="1" x14ac:dyDescent="0.2">
      <c r="A9" s="193"/>
      <c r="B9" s="30" t="s">
        <v>60</v>
      </c>
      <c r="C9" s="31"/>
      <c r="D9" s="31">
        <v>3271</v>
      </c>
      <c r="E9" s="31">
        <v>3611</v>
      </c>
      <c r="F9" s="31">
        <v>4128</v>
      </c>
      <c r="G9" s="31">
        <v>4121</v>
      </c>
      <c r="H9" s="31">
        <v>4077</v>
      </c>
      <c r="I9" s="31">
        <v>4711</v>
      </c>
      <c r="J9" s="31">
        <v>4935</v>
      </c>
      <c r="K9" s="31">
        <v>5408</v>
      </c>
      <c r="L9" s="31">
        <v>5032</v>
      </c>
      <c r="M9" s="31">
        <v>3819</v>
      </c>
      <c r="N9" s="31">
        <v>4056</v>
      </c>
      <c r="O9" s="29">
        <f t="shared" si="0"/>
        <v>0.23998777132375421</v>
      </c>
      <c r="P9" s="29">
        <f t="shared" si="1"/>
        <v>-0.17811550151975683</v>
      </c>
    </row>
    <row r="10" spans="1:17" ht="18" customHeight="1" x14ac:dyDescent="0.2">
      <c r="A10" s="193"/>
      <c r="B10" s="30" t="s">
        <v>61</v>
      </c>
      <c r="C10" s="31"/>
      <c r="D10" s="31">
        <v>188.45506286621094</v>
      </c>
      <c r="E10" s="31">
        <v>188.58912658691406</v>
      </c>
      <c r="F10" s="31">
        <v>130.61814880371094</v>
      </c>
      <c r="G10" s="31">
        <v>210.72300720214844</v>
      </c>
      <c r="H10" s="31">
        <v>232.97132873535156</v>
      </c>
      <c r="I10" s="31">
        <v>252.68476867675781</v>
      </c>
      <c r="J10" s="31">
        <v>276.29153442382813</v>
      </c>
      <c r="K10" s="31">
        <v>198.45782470703125</v>
      </c>
      <c r="L10" s="31">
        <v>271.0594482421875</v>
      </c>
      <c r="M10" s="31">
        <v>211.74549865722656</v>
      </c>
      <c r="N10" s="31">
        <v>214.18598937988281</v>
      </c>
      <c r="O10" s="34">
        <f t="shared" si="0"/>
        <v>0.13653613823014624</v>
      </c>
      <c r="P10" s="34">
        <f t="shared" si="1"/>
        <v>-0.22478265638308012</v>
      </c>
    </row>
    <row r="11" spans="1:17" ht="18" customHeight="1" x14ac:dyDescent="0.2">
      <c r="A11" s="194" t="s">
        <v>27</v>
      </c>
      <c r="B11" s="35" t="s">
        <v>62</v>
      </c>
      <c r="C11" s="36"/>
      <c r="D11" s="36">
        <v>20.596315383911133</v>
      </c>
      <c r="E11" s="36">
        <v>19.11720085144043</v>
      </c>
      <c r="F11" s="36">
        <v>17.955999374389648</v>
      </c>
      <c r="G11" s="36">
        <v>19.497037887573242</v>
      </c>
      <c r="H11" s="36">
        <v>20.92173957824707</v>
      </c>
      <c r="I11" s="36">
        <v>21.491153717041016</v>
      </c>
      <c r="J11" s="36">
        <v>20.733928680419922</v>
      </c>
      <c r="K11" s="36">
        <v>20.861667633056641</v>
      </c>
      <c r="L11" s="36">
        <v>19.970321655273438</v>
      </c>
      <c r="M11" s="36">
        <v>19.956153869628906</v>
      </c>
      <c r="N11" s="36">
        <v>20.988462448120117</v>
      </c>
      <c r="O11" s="29">
        <f t="shared" si="0"/>
        <v>1.9039670780886912E-2</v>
      </c>
      <c r="P11" s="29">
        <f t="shared" si="1"/>
        <v>1.2276195776662634E-2</v>
      </c>
    </row>
    <row r="12" spans="1:17" ht="18" customHeight="1" x14ac:dyDescent="0.2">
      <c r="A12" s="195"/>
      <c r="B12" s="37" t="s">
        <v>55</v>
      </c>
      <c r="C12" s="31"/>
      <c r="D12" s="31">
        <v>312.73684692382813</v>
      </c>
      <c r="E12" s="31">
        <v>272.760009765625</v>
      </c>
      <c r="F12" s="31">
        <v>270.79998779296875</v>
      </c>
      <c r="G12" s="31">
        <v>292.370361328125</v>
      </c>
      <c r="H12" s="31">
        <v>338.39129638671875</v>
      </c>
      <c r="I12" s="31">
        <v>353.07693481445313</v>
      </c>
      <c r="J12" s="31">
        <v>341.71429443359375</v>
      </c>
      <c r="K12" s="31">
        <v>319.29998779296875</v>
      </c>
      <c r="L12" s="31">
        <v>307.09677124023438</v>
      </c>
      <c r="M12" s="31">
        <v>290.07693481445313</v>
      </c>
      <c r="N12" s="31">
        <v>314.4615478515625</v>
      </c>
      <c r="O12" s="29">
        <f t="shared" si="0"/>
        <v>5.5148631979219653E-3</v>
      </c>
      <c r="P12" s="29">
        <f t="shared" si="1"/>
        <v>-7.9753018899030428E-2</v>
      </c>
    </row>
    <row r="13" spans="1:17" ht="18" customHeight="1" x14ac:dyDescent="0.2">
      <c r="A13" s="195"/>
      <c r="B13" s="37" t="s">
        <v>56</v>
      </c>
      <c r="C13" s="31"/>
      <c r="D13" s="31">
        <v>122.10526275634766</v>
      </c>
      <c r="E13" s="31">
        <v>104.31999969482422</v>
      </c>
      <c r="F13" s="31">
        <v>95.480003356933594</v>
      </c>
      <c r="G13" s="31">
        <v>113.74073791503906</v>
      </c>
      <c r="H13" s="31">
        <v>131</v>
      </c>
      <c r="I13" s="31">
        <v>134.73077392578125</v>
      </c>
      <c r="J13" s="31">
        <v>125.96428680419922</v>
      </c>
      <c r="K13" s="31">
        <v>127.66666412353516</v>
      </c>
      <c r="L13" s="31">
        <v>117.87096405029297</v>
      </c>
      <c r="M13" s="31">
        <v>120.88461303710938</v>
      </c>
      <c r="N13" s="31">
        <v>130.88807678222656</v>
      </c>
      <c r="O13" s="29">
        <f t="shared" si="0"/>
        <v>7.1928218551925854E-2</v>
      </c>
      <c r="P13" s="29">
        <f t="shared" si="1"/>
        <v>3.9088777485645251E-2</v>
      </c>
    </row>
    <row r="14" spans="1:17" ht="18" customHeight="1" x14ac:dyDescent="0.2">
      <c r="A14" s="195"/>
      <c r="B14" s="37" t="s">
        <v>57</v>
      </c>
      <c r="C14" s="31"/>
      <c r="D14" s="31">
        <v>275.09536743164063</v>
      </c>
      <c r="E14" s="31">
        <v>241.85137939453125</v>
      </c>
      <c r="F14" s="31">
        <v>232.74169921875</v>
      </c>
      <c r="G14" s="31">
        <v>254.65318298339844</v>
      </c>
      <c r="H14" s="31">
        <v>284.53952026367188</v>
      </c>
      <c r="I14" s="31">
        <v>296.0699462890625</v>
      </c>
      <c r="J14" s="31">
        <v>284.60134887695313</v>
      </c>
      <c r="K14" s="31">
        <v>275.66714477539063</v>
      </c>
      <c r="L14" s="31">
        <v>266.216796875</v>
      </c>
      <c r="M14" s="31">
        <v>254.74957275390625</v>
      </c>
      <c r="N14" s="31">
        <v>275.01214599609375</v>
      </c>
      <c r="O14" s="29">
        <f t="shared" si="0"/>
        <v>-3.0251849140118644E-4</v>
      </c>
      <c r="P14" s="29">
        <f t="shared" si="1"/>
        <v>-3.3693455490280369E-2</v>
      </c>
    </row>
    <row r="15" spans="1:17" ht="18" customHeight="1" x14ac:dyDescent="0.2">
      <c r="A15" s="195"/>
      <c r="B15" s="37" t="s">
        <v>58</v>
      </c>
      <c r="C15" s="33"/>
      <c r="D15" s="33">
        <v>296.18524169921875</v>
      </c>
      <c r="E15" s="33">
        <v>230.60678100585938</v>
      </c>
      <c r="F15" s="33">
        <v>232.99667358398438</v>
      </c>
      <c r="G15" s="33">
        <v>290.10012817382813</v>
      </c>
      <c r="H15" s="33">
        <v>341.5133056640625</v>
      </c>
      <c r="I15" s="33">
        <v>353.33651733398438</v>
      </c>
      <c r="J15" s="33">
        <v>294.79141235351563</v>
      </c>
      <c r="K15" s="33">
        <v>207.00991821289063</v>
      </c>
      <c r="L15" s="33">
        <v>173.58978271484375</v>
      </c>
      <c r="M15" s="33">
        <v>138.67507934570313</v>
      </c>
      <c r="N15" s="33">
        <v>157.10858154296875</v>
      </c>
      <c r="O15" s="29">
        <f t="shared" si="0"/>
        <v>-0.46955972336219493</v>
      </c>
      <c r="P15" s="29">
        <f t="shared" si="1"/>
        <v>-0.46705170178240063</v>
      </c>
    </row>
    <row r="16" spans="1:17" ht="18" customHeight="1" x14ac:dyDescent="0.2">
      <c r="A16" s="195"/>
      <c r="B16" s="37" t="s">
        <v>63</v>
      </c>
      <c r="C16" s="33"/>
      <c r="D16" s="33">
        <f ca="1">794.0229375*OFFSET(D$112,MATCH($N$1,$C$112:$C$113,0)-1,0)</f>
        <v>794.02293750000001</v>
      </c>
      <c r="E16" s="33">
        <f ca="1">688.44725*OFFSET(E$112,MATCH($N$1,$C$112:$C$113,0)-1,0)</f>
        <v>688.44725000000005</v>
      </c>
      <c r="F16" s="33">
        <f ca="1">788.9725625*OFFSET(F$112,MATCH($N$1,$C$112:$C$113,0)-1,0)</f>
        <v>788.97256249999998</v>
      </c>
      <c r="G16" s="33">
        <f ca="1">888.5651875*OFFSET(G$112,MATCH($N$1,$C$112:$C$113,0)-1,0)</f>
        <v>888.56518749999998</v>
      </c>
      <c r="H16" s="33">
        <f ca="1">1151.993625*OFFSET(H$112,MATCH($N$1,$C$112:$C$113,0)-1,0)</f>
        <v>1151.9936250000001</v>
      </c>
      <c r="I16" s="33">
        <f ca="1">1079.13925*OFFSET(I$112,MATCH($N$1,$C$112:$C$113,0)-1,0)</f>
        <v>1079.1392499999999</v>
      </c>
      <c r="J16" s="33">
        <f ca="1">725.3305625*OFFSET(J$112,MATCH($N$1,$C$112:$C$113,0)-1,0)</f>
        <v>725.33056250000004</v>
      </c>
      <c r="K16" s="33">
        <f ca="1">527.2969375*OFFSET(K$112,MATCH($N$1,$C$112:$C$113,0)-1,0)</f>
        <v>527.29693750000001</v>
      </c>
      <c r="L16" s="33">
        <f ca="1">451.946375*OFFSET(L$112,MATCH($N$1,$C$112:$C$113,0)-1,0)</f>
        <v>451.94637499999999</v>
      </c>
      <c r="M16" s="33">
        <f ca="1">278.9908125*OFFSET(M$112,MATCH($N$1,$C$112:$C$113,0)-1,0)</f>
        <v>278.9908125</v>
      </c>
      <c r="N16" s="33">
        <v>338.07212500000003</v>
      </c>
      <c r="O16" s="29">
        <f t="shared" ca="1" si="0"/>
        <v>-0.57422876716329119</v>
      </c>
      <c r="P16" s="29">
        <f t="shared" ca="1" si="1"/>
        <v>-0.53390613538361686</v>
      </c>
    </row>
    <row r="17" spans="1:16" ht="18" customHeight="1" x14ac:dyDescent="0.2">
      <c r="A17" s="195"/>
      <c r="B17" s="37" t="s">
        <v>60</v>
      </c>
      <c r="C17" s="31"/>
      <c r="D17" s="31">
        <v>172.15789794921875</v>
      </c>
      <c r="E17" s="31">
        <v>144.44000244140625</v>
      </c>
      <c r="F17" s="31">
        <v>165.1199951171875</v>
      </c>
      <c r="G17" s="31">
        <v>152.62962341308594</v>
      </c>
      <c r="H17" s="31">
        <v>177.2608642578125</v>
      </c>
      <c r="I17" s="31">
        <v>181.19230651855469</v>
      </c>
      <c r="J17" s="31">
        <v>176.25</v>
      </c>
      <c r="K17" s="31">
        <v>180.26666259765625</v>
      </c>
      <c r="L17" s="31">
        <v>162.32258605957031</v>
      </c>
      <c r="M17" s="31">
        <v>146.88461303710938</v>
      </c>
      <c r="N17" s="31">
        <v>156</v>
      </c>
      <c r="O17" s="29">
        <f t="shared" si="0"/>
        <v>-9.3855107094679036E-2</v>
      </c>
      <c r="P17" s="29">
        <f t="shared" si="1"/>
        <v>-0.1148936170212766</v>
      </c>
    </row>
    <row r="18" spans="1:16" ht="18" customHeight="1" x14ac:dyDescent="0.2">
      <c r="A18" s="195"/>
      <c r="B18" s="37" t="s">
        <v>64</v>
      </c>
      <c r="C18" s="31"/>
      <c r="D18" s="31">
        <v>30.578947067260742</v>
      </c>
      <c r="E18" s="31">
        <v>31.440000534057617</v>
      </c>
      <c r="F18" s="31">
        <v>30.879999160766602</v>
      </c>
      <c r="G18" s="31">
        <v>33.925926208496094</v>
      </c>
      <c r="H18" s="31">
        <v>34.434783935546875</v>
      </c>
      <c r="I18" s="31">
        <v>35.423076629638672</v>
      </c>
      <c r="J18" s="31">
        <v>35.535713195800781</v>
      </c>
      <c r="K18" s="31">
        <v>36.966667175292969</v>
      </c>
      <c r="L18" s="31">
        <v>38.766666412353516</v>
      </c>
      <c r="M18" s="31">
        <v>40.769229888916016</v>
      </c>
      <c r="N18" s="31">
        <v>40.846153259277344</v>
      </c>
      <c r="O18" s="29">
        <f t="shared" si="0"/>
        <v>0.33576061888047004</v>
      </c>
      <c r="P18" s="29">
        <f t="shared" si="1"/>
        <v>0.14943952395766441</v>
      </c>
    </row>
    <row r="19" spans="1:16" ht="18" customHeight="1" x14ac:dyDescent="0.2">
      <c r="A19" s="195"/>
      <c r="B19" s="37" t="s">
        <v>65</v>
      </c>
      <c r="C19" s="38"/>
      <c r="D19" s="38">
        <v>1.7204278707504272</v>
      </c>
      <c r="E19" s="38">
        <v>1.5965576171875</v>
      </c>
      <c r="F19" s="38">
        <v>1.4110748767852783</v>
      </c>
      <c r="G19" s="38">
        <v>1.9006804227828979</v>
      </c>
      <c r="H19" s="38">
        <v>1.9266142845153809</v>
      </c>
      <c r="I19" s="38">
        <v>1.9500635862350464</v>
      </c>
      <c r="J19" s="38">
        <v>1.6725753545761108</v>
      </c>
      <c r="K19" s="38">
        <v>1.1483538150787354</v>
      </c>
      <c r="L19" s="38">
        <v>1.0694123506546021</v>
      </c>
      <c r="M19" s="38">
        <v>0.94410896301269531</v>
      </c>
      <c r="N19" s="38">
        <v>1.0071063041687012</v>
      </c>
      <c r="O19" s="29">
        <f t="shared" si="0"/>
        <v>-0.41461869963231002</v>
      </c>
      <c r="P19" s="29">
        <f t="shared" si="1"/>
        <v>-0.39787089328245112</v>
      </c>
    </row>
    <row r="20" spans="1:16" ht="18" customHeight="1" x14ac:dyDescent="0.2">
      <c r="A20" s="196"/>
      <c r="B20" s="39" t="s">
        <v>28</v>
      </c>
      <c r="C20" s="40"/>
      <c r="D20" s="40">
        <f ca="1">2681*OFFSET(D$112,MATCH($N$1,$C$112:$C$113,0)-1,0)</f>
        <v>2681</v>
      </c>
      <c r="E20" s="40">
        <f ca="1">2985*OFFSET(E$112,MATCH($N$1,$C$112:$C$113,0)-1,0)</f>
        <v>2985</v>
      </c>
      <c r="F20" s="40">
        <f ca="1">3386*OFFSET(F$112,MATCH($N$1,$C$112:$C$113,0)-1,0)</f>
        <v>3386</v>
      </c>
      <c r="G20" s="40">
        <f ca="1">3063*OFFSET(G$112,MATCH($N$1,$C$112:$C$113,0)-1,0)</f>
        <v>3063</v>
      </c>
      <c r="H20" s="40">
        <f ca="1">3373*OFFSET(H$112,MATCH($N$1,$C$112:$C$113,0)-1,0)</f>
        <v>3373</v>
      </c>
      <c r="I20" s="40">
        <f ca="1">3054*OFFSET(I$112,MATCH($N$1,$C$112:$C$113,0)-1,0)</f>
        <v>3054</v>
      </c>
      <c r="J20" s="40">
        <f ca="1">2460*OFFSET(J$112,MATCH($N$1,$C$112:$C$113,0)-1,0)</f>
        <v>2460</v>
      </c>
      <c r="K20" s="40">
        <f ca="1">2547*OFFSET(K$112,MATCH($N$1,$C$112:$C$113,0)-1,0)</f>
        <v>2547</v>
      </c>
      <c r="L20" s="40">
        <f ca="1">2604*OFFSET(L$112,MATCH($N$1,$C$112:$C$113,0)-1,0)</f>
        <v>2604</v>
      </c>
      <c r="M20" s="40">
        <f ca="1">2012*OFFSET(M$112,MATCH($N$1,$C$112:$C$113,0)-1,0)</f>
        <v>2012</v>
      </c>
      <c r="N20" s="40">
        <v>2152</v>
      </c>
      <c r="O20" s="34">
        <f t="shared" ca="1" si="0"/>
        <v>-0.19731443491234613</v>
      </c>
      <c r="P20" s="34">
        <f t="shared" ca="1" si="1"/>
        <v>-0.12520325203252033</v>
      </c>
    </row>
    <row r="21" spans="1:16" ht="18" customHeight="1" x14ac:dyDescent="0.2">
      <c r="A21" s="197" t="s">
        <v>29</v>
      </c>
      <c r="B21" s="35" t="s">
        <v>66</v>
      </c>
      <c r="C21" s="41"/>
      <c r="D21" s="41">
        <v>4.6655023255390384</v>
      </c>
      <c r="E21" s="41">
        <v>4.7045056482036358</v>
      </c>
      <c r="F21" s="41">
        <v>4.3728080618274978</v>
      </c>
      <c r="G21" s="41">
        <v>5.0876642892580186</v>
      </c>
      <c r="H21" s="41">
        <v>4.8498313991493598</v>
      </c>
      <c r="I21" s="41">
        <v>4.8639463318923015</v>
      </c>
      <c r="J21" s="41">
        <v>4.0758221067651004</v>
      </c>
      <c r="K21" s="41">
        <v>2.9088454515240354</v>
      </c>
      <c r="L21" s="41">
        <v>2.7202502329313405</v>
      </c>
      <c r="M21" s="41">
        <v>2.3381308460564778</v>
      </c>
      <c r="N21" s="41">
        <v>2.672348184342193</v>
      </c>
      <c r="O21" s="29">
        <f t="shared" si="0"/>
        <v>-0.42721104869807608</v>
      </c>
      <c r="P21" s="29">
        <f t="shared" si="1"/>
        <v>-0.34434130971845012</v>
      </c>
    </row>
    <row r="22" spans="1:16" ht="18" customHeight="1" x14ac:dyDescent="0.2">
      <c r="A22" s="197"/>
      <c r="B22" s="37" t="s">
        <v>67</v>
      </c>
      <c r="C22" s="38"/>
      <c r="D22" s="38">
        <f ca="1">12.5074289325988*OFFSET(D$112,MATCH($N$1,$C$112:$C$113,0)-1,0)</f>
        <v>12.507428932598801</v>
      </c>
      <c r="E22" s="38">
        <f ca="1">14.0447039848016*OFFSET(E$112,MATCH($N$1,$C$112:$C$113,0)-1,0)</f>
        <v>14.0447039848016</v>
      </c>
      <c r="F22" s="38">
        <f ca="1">14.8071881404656*OFFSET(F$112,MATCH($N$1,$C$112:$C$113,0)-1,0)</f>
        <v>14.8071881404656</v>
      </c>
      <c r="G22" s="38">
        <f ca="1">15.5833139460483*OFFSET(G$112,MATCH($N$1,$C$112:$C$113,0)-1,0)</f>
        <v>15.5833139460483</v>
      </c>
      <c r="H22" s="38">
        <f ca="1">16.3594646576981*OFFSET(H$112,MATCH($N$1,$C$112:$C$113,0)-1,0)</f>
        <v>16.359464657698101</v>
      </c>
      <c r="I22" s="38">
        <f ca="1">14.8551738615715*OFFSET(I$112,MATCH($N$1,$C$112:$C$113,0)-1,0)</f>
        <v>14.855173861571499</v>
      </c>
      <c r="J22" s="38">
        <f ca="1">10.0285090320224*OFFSET(J$112,MATCH($N$1,$C$112:$C$113,0)-1,0)</f>
        <v>10.0285090320224</v>
      </c>
      <c r="K22" s="38">
        <f ca="1">7.40942903359843*OFFSET(K$112,MATCH($N$1,$C$112:$C$113,0)-1,0)</f>
        <v>7.4094290335984301</v>
      </c>
      <c r="L22" s="38">
        <f ca="1">7.08225572173089*OFFSET(L$112,MATCH($N$1,$C$112:$C$113,0)-1,0)</f>
        <v>7.0822557217308901</v>
      </c>
      <c r="M22" s="38">
        <f ca="1">4.7039239317574*OFFSET(M$112,MATCH($N$1,$C$112:$C$113,0)-1,0)</f>
        <v>4.7039239317573998</v>
      </c>
      <c r="N22" s="38">
        <v>5.7504588262950289</v>
      </c>
      <c r="O22" s="29">
        <f t="shared" ca="1" si="0"/>
        <v>-0.54023653803802218</v>
      </c>
      <c r="P22" s="29">
        <f t="shared" ca="1" si="1"/>
        <v>-0.42658885703417848</v>
      </c>
    </row>
    <row r="23" spans="1:16" ht="18" customHeight="1" x14ac:dyDescent="0.2">
      <c r="A23" s="197"/>
      <c r="B23" s="37" t="s">
        <v>11</v>
      </c>
      <c r="C23" s="38"/>
      <c r="D23" s="38">
        <f ca="1">9.84137743385694*OFFSET(D$112,MATCH($N$1,$C$112:$C$113,0)-1,0)</f>
        <v>9.8413774338569393</v>
      </c>
      <c r="E23" s="38">
        <f ca="1">15.3790253237791*OFFSET(E$112,MATCH($N$1,$C$112:$C$113,0)-1,0)</f>
        <v>15.3790253237791</v>
      </c>
      <c r="F23" s="38">
        <f ca="1">12.592959310487*OFFSET(F$112,MATCH($N$1,$C$112:$C$113,0)-1,0)</f>
        <v>12.592959310487</v>
      </c>
      <c r="G23" s="38">
        <f ca="1">13.0346146958635*OFFSET(G$112,MATCH($N$1,$C$112:$C$113,0)-1,0)</f>
        <v>13.0346146958635</v>
      </c>
      <c r="H23" s="38">
        <f ca="1">11.5594543910943*OFFSET(H$112,MATCH($N$1,$C$112:$C$113,0)-1,0)</f>
        <v>11.559454391094301</v>
      </c>
      <c r="I23" s="38">
        <f ca="1">10.4559098075622*OFFSET(I$112,MATCH($N$1,$C$112:$C$113,0)-1,0)</f>
        <v>10.4559098075622</v>
      </c>
      <c r="J23" s="38">
        <f ca="1">8.76455711770934*OFFSET(J$112,MATCH($N$1,$C$112:$C$113,0)-1,0)</f>
        <v>8.7645571177093409</v>
      </c>
      <c r="K23" s="38">
        <f ca="1">6.42091454982899*OFFSET(K$112,MATCH($N$1,$C$112:$C$113,0)-1,0)</f>
        <v>6.4209145498289901</v>
      </c>
      <c r="L23" s="38">
        <f ca="1">5.72717716658896*OFFSET(L$112,MATCH($N$1,$C$112:$C$113,0)-1,0)</f>
        <v>5.7271771665889597</v>
      </c>
      <c r="M23" s="38">
        <f ca="1">4.89084887702994*OFFSET(M$112,MATCH($N$1,$C$112:$C$113,0)-1,0)</f>
        <v>4.8908488770299403</v>
      </c>
      <c r="N23" s="38">
        <v>5.4097814899153889</v>
      </c>
      <c r="O23" s="29">
        <f t="shared" ca="1" si="0"/>
        <v>-0.45030240672364513</v>
      </c>
      <c r="P23" s="29">
        <f t="shared" ca="1" si="1"/>
        <v>-0.3827661321318126</v>
      </c>
    </row>
    <row r="24" spans="1:16" ht="18" customHeight="1" x14ac:dyDescent="0.2">
      <c r="A24" s="197"/>
      <c r="B24" s="37" t="s">
        <v>12</v>
      </c>
      <c r="C24" s="38"/>
      <c r="D24" s="38">
        <f ca="1">2.88452098399876*OFFSET(D$112,MATCH($N$1,$C$112:$C$113,0)-1,0)</f>
        <v>2.88452098399876</v>
      </c>
      <c r="E24" s="38">
        <f ca="1">-0.463981988543815*OFFSET(E$112,MATCH($N$1,$C$112:$C$113,0)-1,0)</f>
        <v>-0.463981988543815</v>
      </c>
      <c r="F24" s="38">
        <f ca="1">2.78571937561087*OFFSET(F$112,MATCH($N$1,$C$112:$C$113,0)-1,0)</f>
        <v>2.7857193756108698</v>
      </c>
      <c r="G24" s="38">
        <f ca="1">2.68360444019523*OFFSET(G$112,MATCH($N$1,$C$112:$C$113,0)-1,0)</f>
        <v>2.6836044401952299</v>
      </c>
      <c r="H24" s="38">
        <f ca="1">4.83478287110549*OFFSET(H$112,MATCH($N$1,$C$112:$C$113,0)-1,0)</f>
        <v>4.8347828711054897</v>
      </c>
      <c r="I24" s="38">
        <f ca="1">4.43664910384891*OFFSET(I$112,MATCH($N$1,$C$112:$C$113,0)-1,0)</f>
        <v>4.43664910384891</v>
      </c>
      <c r="J24" s="38">
        <f ca="1">1.33962929573838*OFFSET(J$112,MATCH($N$1,$C$112:$C$113,0)-1,0)</f>
        <v>1.33962929573838</v>
      </c>
      <c r="K24" s="38">
        <f ca="1">1.01292011761729*OFFSET(K$112,MATCH($N$1,$C$112:$C$113,0)-1,0)</f>
        <v>1.01292011761729</v>
      </c>
      <c r="L24" s="38">
        <f ca="1">1.48574648732928*OFFSET(L$112,MATCH($N$1,$C$112:$C$113,0)-1,0)</f>
        <v>1.4857464873292801</v>
      </c>
      <c r="M24" s="38">
        <f ca="1">-0.0154692770860766*OFFSET(M$112,MATCH($N$1,$C$112:$C$113,0)-1,0)</f>
        <v>-1.5469277086076601E-2</v>
      </c>
      <c r="N24" s="38">
        <v>0.44677355847615052</v>
      </c>
      <c r="O24" s="29">
        <f t="shared" ca="1" si="0"/>
        <v>-0.8451134309805588</v>
      </c>
      <c r="P24" s="29">
        <f t="shared" ca="1" si="1"/>
        <v>-0.66649463407718568</v>
      </c>
    </row>
    <row r="25" spans="1:16" ht="18" customHeight="1" x14ac:dyDescent="0.2">
      <c r="A25" s="197"/>
      <c r="B25" s="37" t="s">
        <v>68</v>
      </c>
      <c r="C25" s="33"/>
      <c r="D25" s="33">
        <f ca="1">80.05*OFFSET(D$112,MATCH($N$1,$C$112:$C$113,0)-1,0)</f>
        <v>80.05</v>
      </c>
      <c r="E25" s="33">
        <f ca="1">91.26*OFFSET(E$112,MATCH($N$1,$C$112:$C$113,0)-1,0)</f>
        <v>91.26</v>
      </c>
      <c r="F25" s="33">
        <f ca="1">151.01*OFFSET(F$112,MATCH($N$1,$C$112:$C$113,0)-1,0)</f>
        <v>151.01</v>
      </c>
      <c r="G25" s="33">
        <f ca="1">113.86*OFFSET(G$112,MATCH($N$1,$C$112:$C$113,0)-1,0)</f>
        <v>113.86</v>
      </c>
      <c r="H25" s="33">
        <f ca="1">113.73*OFFSET(H$112,MATCH($N$1,$C$112:$C$113,0)-1,0)</f>
        <v>113.73</v>
      </c>
      <c r="I25" s="33">
        <f ca="1">111.03*OFFSET(I$112,MATCH($N$1,$C$112:$C$113,0)-1,0)</f>
        <v>111.03</v>
      </c>
      <c r="J25" s="33">
        <f ca="1">73.5*OFFSET(J$112,MATCH($N$1,$C$112:$C$113,0)-1,0)</f>
        <v>73.5</v>
      </c>
      <c r="K25" s="33">
        <f ca="1">79.71*OFFSET(K$112,MATCH($N$1,$C$112:$C$113,0)-1,0)</f>
        <v>79.709999999999994</v>
      </c>
      <c r="L25" s="33">
        <f ca="1">51.68*OFFSET(L$112,MATCH($N$1,$C$112:$C$113,0)-1,0)</f>
        <v>51.68</v>
      </c>
      <c r="M25" s="33">
        <f ca="1">34.26*OFFSET(M$112,MATCH($N$1,$C$112:$C$113,0)-1,0)</f>
        <v>34.26</v>
      </c>
      <c r="N25" s="33">
        <v>41.04</v>
      </c>
      <c r="O25" s="29">
        <f t="shared" ca="1" si="0"/>
        <v>-0.4873204247345409</v>
      </c>
      <c r="P25" s="29">
        <f t="shared" ca="1" si="1"/>
        <v>-0.44163265306122451</v>
      </c>
    </row>
    <row r="26" spans="1:16" ht="18" customHeight="1" x14ac:dyDescent="0.2">
      <c r="A26" s="198"/>
      <c r="B26" s="37" t="s">
        <v>69</v>
      </c>
      <c r="C26" s="33"/>
      <c r="D26" s="33">
        <f ca="1">18.46*OFFSET(D$112,MATCH($N$1,$C$112:$C$113,0)-1,0)</f>
        <v>18.46</v>
      </c>
      <c r="E26" s="33">
        <f ca="1">-3.01*OFFSET(E$112,MATCH($N$1,$C$112:$C$113,0)-1,0)</f>
        <v>-3.01</v>
      </c>
      <c r="F26" s="33">
        <f ca="1">28.4*OFFSET(F$112,MATCH($N$1,$C$112:$C$113,0)-1,0)</f>
        <v>28.4</v>
      </c>
      <c r="G26" s="33">
        <f ca="1">19.6*OFFSET(G$112,MATCH($N$1,$C$112:$C$113,0)-1,0)</f>
        <v>19.600000000000001</v>
      </c>
      <c r="H26" s="33">
        <f ca="1">33.62*OFFSET(H$112,MATCH($N$1,$C$112:$C$113,0)-1,0)</f>
        <v>33.619999999999997</v>
      </c>
      <c r="I26" s="33">
        <f ca="1">33.16*OFFSET(I$112,MATCH($N$1,$C$112:$C$113,0)-1,0)</f>
        <v>33.159999999999997</v>
      </c>
      <c r="J26" s="33">
        <f ca="1">9.82*OFFSET(J$112,MATCH($N$1,$C$112:$C$113,0)-1,0)</f>
        <v>9.82</v>
      </c>
      <c r="K26" s="33">
        <f ca="1">10.9*OFFSET(K$112,MATCH($N$1,$C$112:$C$113,0)-1,0)</f>
        <v>10.9</v>
      </c>
      <c r="L26" s="33">
        <f ca="1">10.84*OFFSET(L$112,MATCH($N$1,$C$112:$C$113,0)-1,0)</f>
        <v>10.84</v>
      </c>
      <c r="M26" s="33">
        <f ca="1">-0.11*OFFSET(M$112,MATCH($N$1,$C$112:$C$113,0)-1,0)</f>
        <v>-0.11</v>
      </c>
      <c r="N26" s="33">
        <v>3.19</v>
      </c>
      <c r="O26" s="34">
        <f t="shared" ca="1" si="0"/>
        <v>-0.82719393282773568</v>
      </c>
      <c r="P26" s="34">
        <f t="shared" ca="1" si="1"/>
        <v>-0.67515274949083504</v>
      </c>
    </row>
    <row r="27" spans="1:16" ht="18" customHeight="1" x14ac:dyDescent="0.2">
      <c r="A27" s="187" t="s">
        <v>30</v>
      </c>
      <c r="B27" s="35" t="s">
        <v>63</v>
      </c>
      <c r="C27" s="36"/>
      <c r="D27" s="36">
        <f ca="1">794*OFFSET(D$112,MATCH($N$1,$C$112:$C$113,0)-1,0)</f>
        <v>794</v>
      </c>
      <c r="E27" s="36">
        <f ca="1">688.4*OFFSET(E$112,MATCH($N$1,$C$112:$C$113,0)-1,0)</f>
        <v>688.4</v>
      </c>
      <c r="F27" s="36">
        <f ca="1">789*OFFSET(F$112,MATCH($N$1,$C$112:$C$113,0)-1,0)</f>
        <v>789</v>
      </c>
      <c r="G27" s="36">
        <f ca="1">888.6*OFFSET(G$112,MATCH($N$1,$C$112:$C$113,0)-1,0)</f>
        <v>888.6</v>
      </c>
      <c r="H27" s="36">
        <f ca="1">1152*OFFSET(H$112,MATCH($N$1,$C$112:$C$113,0)-1,0)</f>
        <v>1152</v>
      </c>
      <c r="I27" s="36">
        <f ca="1">1079.1*OFFSET(I$112,MATCH($N$1,$C$112:$C$113,0)-1,0)</f>
        <v>1079.0999999999999</v>
      </c>
      <c r="J27" s="36">
        <f ca="1">725.3*OFFSET(J$112,MATCH($N$1,$C$112:$C$113,0)-1,0)</f>
        <v>725.3</v>
      </c>
      <c r="K27" s="36">
        <f ca="1">527.3*OFFSET(K$112,MATCH($N$1,$C$112:$C$113,0)-1,0)</f>
        <v>527.29999999999995</v>
      </c>
      <c r="L27" s="36">
        <f ca="1">451.9*OFFSET(L$112,MATCH($N$1,$C$112:$C$113,0)-1,0)</f>
        <v>451.9</v>
      </c>
      <c r="M27" s="36">
        <f ca="1">279*OFFSET(M$112,MATCH($N$1,$C$112:$C$113,0)-1,0)</f>
        <v>279</v>
      </c>
      <c r="N27" s="36">
        <v>338.1</v>
      </c>
      <c r="O27" s="29">
        <f t="shared" ca="1" si="0"/>
        <v>-0.57418136020151134</v>
      </c>
      <c r="P27" s="29">
        <f t="shared" ca="1" si="1"/>
        <v>-0.53384806287053632</v>
      </c>
    </row>
    <row r="28" spans="1:16" ht="18" customHeight="1" x14ac:dyDescent="0.2">
      <c r="A28" s="199"/>
      <c r="B28" s="37" t="s">
        <v>70</v>
      </c>
      <c r="C28" s="33"/>
      <c r="D28" s="33">
        <f ca="1">13.9*OFFSET(D$112,MATCH($N$1,$C$112:$C$113,0)-1,0)</f>
        <v>13.9</v>
      </c>
      <c r="E28" s="33">
        <f ca="1">42.7*OFFSET(E$112,MATCH($N$1,$C$112:$C$113,0)-1,0)</f>
        <v>42.7</v>
      </c>
      <c r="F28" s="33">
        <f ca="1">30.5*OFFSET(F$112,MATCH($N$1,$C$112:$C$113,0)-1,0)</f>
        <v>30.5</v>
      </c>
      <c r="G28" s="33">
        <f ca="1">7.7*OFFSET(G$112,MATCH($N$1,$C$112:$C$113,0)-1,0)</f>
        <v>7.7</v>
      </c>
      <c r="H28" s="33">
        <f ca="1">2.4*OFFSET(H$112,MATCH($N$1,$C$112:$C$113,0)-1,0)</f>
        <v>2.4</v>
      </c>
      <c r="I28" s="33">
        <f ca="1">2.7*OFFSET(I$112,MATCH($N$1,$C$112:$C$113,0)-1,0)</f>
        <v>2.7</v>
      </c>
      <c r="J28" s="33">
        <f ca="1">5.5*OFFSET(J$112,MATCH($N$1,$C$112:$C$113,0)-1,0)</f>
        <v>5.5</v>
      </c>
      <c r="K28" s="33">
        <f ca="1">1.7*OFFSET(K$112,MATCH($N$1,$C$112:$C$113,0)-1,0)</f>
        <v>1.7</v>
      </c>
      <c r="L28" s="33">
        <f ca="1">8.3*OFFSET(L$112,MATCH($N$1,$C$112:$C$113,0)-1,0)</f>
        <v>8.3000000000000007</v>
      </c>
      <c r="M28" s="33">
        <f ca="1">10.2*OFFSET(M$112,MATCH($N$1,$C$112:$C$113,0)-1,0)</f>
        <v>10.199999999999999</v>
      </c>
      <c r="N28" s="33">
        <v>6.2</v>
      </c>
      <c r="O28" s="29">
        <f t="shared" ca="1" si="0"/>
        <v>-0.5539568345323741</v>
      </c>
      <c r="P28" s="29">
        <f t="shared" ca="1" si="1"/>
        <v>0.12727272727272732</v>
      </c>
    </row>
    <row r="29" spans="1:16" ht="18" customHeight="1" x14ac:dyDescent="0.2">
      <c r="A29" s="199"/>
      <c r="B29" s="42" t="s">
        <v>71</v>
      </c>
      <c r="C29" s="43"/>
      <c r="D29" s="43">
        <f ca="1">807.9*OFFSET(D$112,MATCH($N$1,$C$112:$C$113,0)-1,0)</f>
        <v>807.9</v>
      </c>
      <c r="E29" s="43">
        <f ca="1">731.1*OFFSET(E$112,MATCH($N$1,$C$112:$C$113,0)-1,0)</f>
        <v>731.1</v>
      </c>
      <c r="F29" s="43">
        <f ca="1">819.4*OFFSET(F$112,MATCH($N$1,$C$112:$C$113,0)-1,0)</f>
        <v>819.4</v>
      </c>
      <c r="G29" s="43">
        <f ca="1">896.3*OFFSET(G$112,MATCH($N$1,$C$112:$C$113,0)-1,0)</f>
        <v>896.3</v>
      </c>
      <c r="H29" s="43">
        <f ca="1">1154.4*OFFSET(H$112,MATCH($N$1,$C$112:$C$113,0)-1,0)</f>
        <v>1154.4000000000001</v>
      </c>
      <c r="I29" s="43">
        <f ca="1">1081.9*OFFSET(I$112,MATCH($N$1,$C$112:$C$113,0)-1,0)</f>
        <v>1081.9000000000001</v>
      </c>
      <c r="J29" s="43">
        <f ca="1">730.8*OFFSET(J$112,MATCH($N$1,$C$112:$C$113,0)-1,0)</f>
        <v>730.8</v>
      </c>
      <c r="K29" s="43">
        <f ca="1">529*OFFSET(K$112,MATCH($N$1,$C$112:$C$113,0)-1,0)</f>
        <v>529</v>
      </c>
      <c r="L29" s="43">
        <f ca="1">460.3*OFFSET(L$112,MATCH($N$1,$C$112:$C$113,0)-1,0)</f>
        <v>460.3</v>
      </c>
      <c r="M29" s="43">
        <f ca="1">289.2*OFFSET(M$112,MATCH($N$1,$C$112:$C$113,0)-1,0)</f>
        <v>289.2</v>
      </c>
      <c r="N29" s="43">
        <v>344.3</v>
      </c>
      <c r="O29" s="29">
        <f t="shared" ca="1" si="0"/>
        <v>-0.57383339522218091</v>
      </c>
      <c r="P29" s="29">
        <f t="shared" ca="1" si="1"/>
        <v>-0.52887246852764092</v>
      </c>
    </row>
    <row r="30" spans="1:16" ht="18" customHeight="1" x14ac:dyDescent="0.2">
      <c r="A30" s="199"/>
      <c r="B30" s="37" t="s">
        <v>72</v>
      </c>
      <c r="C30" s="33"/>
      <c r="D30" s="33">
        <f ca="1">147.1*OFFSET(D$112,MATCH($N$1,$C$112:$C$113,0)-1,0)</f>
        <v>147.1</v>
      </c>
      <c r="E30" s="33">
        <f ca="1">118.9*OFFSET(E$112,MATCH($N$1,$C$112:$C$113,0)-1,0)</f>
        <v>118.9</v>
      </c>
      <c r="F30" s="33">
        <f ca="1">125.3*OFFSET(F$112,MATCH($N$1,$C$112:$C$113,0)-1,0)</f>
        <v>125.3</v>
      </c>
      <c r="G30" s="33">
        <f ca="1">112.5*OFFSET(G$112,MATCH($N$1,$C$112:$C$113,0)-1,0)</f>
        <v>112.5</v>
      </c>
      <c r="H30" s="33">
        <f ca="1">92*OFFSET(H$112,MATCH($N$1,$C$112:$C$113,0)-1,0)</f>
        <v>92</v>
      </c>
      <c r="I30" s="33">
        <f ca="1">90.5*OFFSET(I$112,MATCH($N$1,$C$112:$C$113,0)-1,0)</f>
        <v>90.5</v>
      </c>
      <c r="J30" s="33">
        <f ca="1">106.8*OFFSET(J$112,MATCH($N$1,$C$112:$C$113,0)-1,0)</f>
        <v>106.8</v>
      </c>
      <c r="K30" s="33">
        <f ca="1">128.8*OFFSET(K$112,MATCH($N$1,$C$112:$C$113,0)-1,0)</f>
        <v>128.80000000000001</v>
      </c>
      <c r="L30" s="33">
        <f ca="1">111.9*OFFSET(L$112,MATCH($N$1,$C$112:$C$113,0)-1,0)</f>
        <v>111.9</v>
      </c>
      <c r="M30" s="33">
        <f ca="1">73.5*OFFSET(M$112,MATCH($N$1,$C$112:$C$113,0)-1,0)</f>
        <v>73.5</v>
      </c>
      <c r="N30" s="33">
        <v>91.600000000000009</v>
      </c>
      <c r="O30" s="29">
        <f t="shared" ca="1" si="0"/>
        <v>-0.37729435757987756</v>
      </c>
      <c r="P30" s="29">
        <f t="shared" ca="1" si="1"/>
        <v>-0.14232209737827706</v>
      </c>
    </row>
    <row r="31" spans="1:16" ht="18" customHeight="1" x14ac:dyDescent="0.2">
      <c r="A31" s="199"/>
      <c r="B31" s="37" t="s">
        <v>73</v>
      </c>
      <c r="C31" s="33"/>
      <c r="D31" s="33">
        <f ca="1">262.7*OFFSET(D$112,MATCH($N$1,$C$112:$C$113,0)-1,0)</f>
        <v>262.7</v>
      </c>
      <c r="E31" s="33">
        <f ca="1">276.8*OFFSET(E$112,MATCH($N$1,$C$112:$C$113,0)-1,0)</f>
        <v>276.8</v>
      </c>
      <c r="F31" s="33">
        <f ca="1">167.6*OFFSET(F$112,MATCH($N$1,$C$112:$C$113,0)-1,0)</f>
        <v>167.6</v>
      </c>
      <c r="G31" s="33">
        <f ca="1">189.2*OFFSET(G$112,MATCH($N$1,$C$112:$C$113,0)-1,0)</f>
        <v>189.2</v>
      </c>
      <c r="H31" s="33">
        <f ca="1">140.2*OFFSET(H$112,MATCH($N$1,$C$112:$C$113,0)-1,0)</f>
        <v>140.19999999999999</v>
      </c>
      <c r="I31" s="33">
        <f ca="1">122.6*OFFSET(I$112,MATCH($N$1,$C$112:$C$113,0)-1,0)</f>
        <v>122.6</v>
      </c>
      <c r="J31" s="33">
        <f ca="1">85.6*OFFSET(J$112,MATCH($N$1,$C$112:$C$113,0)-1,0)</f>
        <v>85.6</v>
      </c>
      <c r="K31" s="33">
        <f ca="1">131.6*OFFSET(K$112,MATCH($N$1,$C$112:$C$113,0)-1,0)</f>
        <v>131.6</v>
      </c>
      <c r="L31" s="33">
        <f ca="1">138.9*OFFSET(L$112,MATCH($N$1,$C$112:$C$113,0)-1,0)</f>
        <v>138.9</v>
      </c>
      <c r="M31" s="33">
        <f ca="1">89.9*OFFSET(M$112,MATCH($N$1,$C$112:$C$113,0)-1,0)</f>
        <v>89.9</v>
      </c>
      <c r="N31" s="33">
        <v>100.4</v>
      </c>
      <c r="O31" s="29">
        <f t="shared" ca="1" si="0"/>
        <v>-0.61781499809668816</v>
      </c>
      <c r="P31" s="29">
        <f t="shared" ca="1" si="1"/>
        <v>0.1728971962616824</v>
      </c>
    </row>
    <row r="32" spans="1:16" ht="18" customHeight="1" x14ac:dyDescent="0.2">
      <c r="A32" s="199"/>
      <c r="B32" s="37" t="s">
        <v>74</v>
      </c>
      <c r="C32" s="33"/>
      <c r="D32" s="33">
        <f ca="1">62.8*OFFSET(D$112,MATCH($N$1,$C$112:$C$113,0)-1,0)</f>
        <v>62.8</v>
      </c>
      <c r="E32" s="33">
        <f ca="1">165.7*OFFSET(E$112,MATCH($N$1,$C$112:$C$113,0)-1,0)</f>
        <v>165.7</v>
      </c>
      <c r="F32" s="33">
        <f ca="1">99.6*OFFSET(F$112,MATCH($N$1,$C$112:$C$113,0)-1,0)</f>
        <v>99.6</v>
      </c>
      <c r="G32" s="33">
        <f ca="1">85.2*OFFSET(G$112,MATCH($N$1,$C$112:$C$113,0)-1,0)</f>
        <v>85.2</v>
      </c>
      <c r="H32" s="33">
        <f ca="1">445.1*OFFSET(H$112,MATCH($N$1,$C$112:$C$113,0)-1,0)</f>
        <v>445.1</v>
      </c>
      <c r="I32" s="33">
        <f ca="1">429.7*OFFSET(I$112,MATCH($N$1,$C$112:$C$113,0)-1,0)</f>
        <v>429.7</v>
      </c>
      <c r="J32" s="33">
        <f ca="1">318*OFFSET(J$112,MATCH($N$1,$C$112:$C$113,0)-1,0)</f>
        <v>318</v>
      </c>
      <c r="K32" s="33">
        <f ca="1">89.4*OFFSET(K$112,MATCH($N$1,$C$112:$C$113,0)-1,0)</f>
        <v>89.4</v>
      </c>
      <c r="L32" s="33">
        <f ca="1">29.9*OFFSET(L$112,MATCH($N$1,$C$112:$C$113,0)-1,0)</f>
        <v>29.9</v>
      </c>
      <c r="M32" s="33">
        <f ca="1">26.9*OFFSET(M$112,MATCH($N$1,$C$112:$C$113,0)-1,0)</f>
        <v>26.9</v>
      </c>
      <c r="N32" s="33">
        <v>22.400000000000002</v>
      </c>
      <c r="O32" s="29">
        <f t="shared" ca="1" si="0"/>
        <v>-0.64331210191082788</v>
      </c>
      <c r="P32" s="29">
        <f t="shared" ca="1" si="1"/>
        <v>-0.92955974842767308</v>
      </c>
    </row>
    <row r="33" spans="1:16" ht="18" customHeight="1" x14ac:dyDescent="0.2">
      <c r="A33" s="199"/>
      <c r="B33" s="37" t="s">
        <v>75</v>
      </c>
      <c r="C33" s="33"/>
      <c r="D33" s="33">
        <f ca="1">472.6*OFFSET(D$112,MATCH($N$1,$C$112:$C$113,0)-1,0)</f>
        <v>472.6</v>
      </c>
      <c r="E33" s="33">
        <f ca="1">561.4*OFFSET(E$112,MATCH($N$1,$C$112:$C$113,0)-1,0)</f>
        <v>561.4</v>
      </c>
      <c r="F33" s="33">
        <f ca="1">392.5*OFFSET(F$112,MATCH($N$1,$C$112:$C$113,0)-1,0)</f>
        <v>392.5</v>
      </c>
      <c r="G33" s="33">
        <f ca="1">386.9*OFFSET(G$112,MATCH($N$1,$C$112:$C$113,0)-1,0)</f>
        <v>386.9</v>
      </c>
      <c r="H33" s="33">
        <f ca="1">677.3*OFFSET(H$112,MATCH($N$1,$C$112:$C$113,0)-1,0)</f>
        <v>677.3</v>
      </c>
      <c r="I33" s="33">
        <f ca="1">642.7*OFFSET(I$112,MATCH($N$1,$C$112:$C$113,0)-1,0)</f>
        <v>642.70000000000005</v>
      </c>
      <c r="J33" s="33">
        <f ca="1">510.4*OFFSET(J$112,MATCH($N$1,$C$112:$C$113,0)-1,0)</f>
        <v>510.4</v>
      </c>
      <c r="K33" s="33">
        <f ca="1">349.8*OFFSET(K$112,MATCH($N$1,$C$112:$C$113,0)-1,0)</f>
        <v>349.8</v>
      </c>
      <c r="L33" s="33">
        <f ca="1">280.7*OFFSET(L$112,MATCH($N$1,$C$112:$C$113,0)-1,0)</f>
        <v>280.7</v>
      </c>
      <c r="M33" s="33">
        <f ca="1">190.3*OFFSET(M$112,MATCH($N$1,$C$112:$C$113,0)-1,0)</f>
        <v>190.3</v>
      </c>
      <c r="N33" s="33">
        <v>214.4</v>
      </c>
      <c r="O33" s="29">
        <f t="shared" ca="1" si="0"/>
        <v>-0.54633939906898021</v>
      </c>
      <c r="P33" s="29">
        <f t="shared" ca="1" si="1"/>
        <v>-0.57993730407523514</v>
      </c>
    </row>
    <row r="34" spans="1:16" ht="18" customHeight="1" x14ac:dyDescent="0.2">
      <c r="A34" s="199"/>
      <c r="B34" s="37" t="s">
        <v>76</v>
      </c>
      <c r="C34" s="33"/>
      <c r="D34" s="33">
        <f ca="1">152.2*OFFSET(D$112,MATCH($N$1,$C$112:$C$113,0)-1,0)</f>
        <v>152.19999999999999</v>
      </c>
      <c r="E34" s="33">
        <f ca="1">192.4*OFFSET(E$112,MATCH($N$1,$C$112:$C$113,0)-1,0)</f>
        <v>192.4</v>
      </c>
      <c r="F34" s="33">
        <f ca="1">278.5*OFFSET(F$112,MATCH($N$1,$C$112:$C$113,0)-1,0)</f>
        <v>278.5</v>
      </c>
      <c r="G34" s="33">
        <f ca="1">356.3*OFFSET(G$112,MATCH($N$1,$C$112:$C$113,0)-1,0)</f>
        <v>356.3</v>
      </c>
      <c r="H34" s="33">
        <f ca="1">136.7*OFFSET(H$112,MATCH($N$1,$C$112:$C$113,0)-1,0)</f>
        <v>136.69999999999999</v>
      </c>
      <c r="I34" s="33">
        <f ca="1">116.8*OFFSET(I$112,MATCH($N$1,$C$112:$C$113,0)-1,0)</f>
        <v>116.8</v>
      </c>
      <c r="J34" s="33">
        <f ca="1">123.5*OFFSET(J$112,MATCH($N$1,$C$112:$C$113,0)-1,0)</f>
        <v>123.5</v>
      </c>
      <c r="K34" s="33">
        <f ca="1">107.1*OFFSET(K$112,MATCH($N$1,$C$112:$C$113,0)-1,0)</f>
        <v>107.1</v>
      </c>
      <c r="L34" s="33">
        <f ca="1">84.8*OFFSET(L$112,MATCH($N$1,$C$112:$C$113,0)-1,0)</f>
        <v>84.8</v>
      </c>
      <c r="M34" s="33">
        <f ca="1">99.8*OFFSET(M$112,MATCH($N$1,$C$112:$C$113,0)-1,0)</f>
        <v>99.8</v>
      </c>
      <c r="N34" s="33">
        <v>103.7</v>
      </c>
      <c r="O34" s="29">
        <f t="shared" ca="1" si="0"/>
        <v>-0.31865965834428378</v>
      </c>
      <c r="P34" s="29">
        <f t="shared" ca="1" si="1"/>
        <v>-0.16032388663967609</v>
      </c>
    </row>
    <row r="35" spans="1:16" ht="18" customHeight="1" x14ac:dyDescent="0.2">
      <c r="A35" s="199"/>
      <c r="B35" s="37" t="s">
        <v>77</v>
      </c>
      <c r="C35" s="33"/>
      <c r="D35" s="33">
        <f ca="1">624.8*OFFSET(D$112,MATCH($N$1,$C$112:$C$113,0)-1,0)</f>
        <v>624.79999999999995</v>
      </c>
      <c r="E35" s="33">
        <f ca="1">753.9*OFFSET(E$112,MATCH($N$1,$C$112:$C$113,0)-1,0)</f>
        <v>753.9</v>
      </c>
      <c r="F35" s="33">
        <f ca="1">671*OFFSET(F$112,MATCH($N$1,$C$112:$C$113,0)-1,0)</f>
        <v>671</v>
      </c>
      <c r="G35" s="33">
        <f ca="1">743.2*OFFSET(G$112,MATCH($N$1,$C$112:$C$113,0)-1,0)</f>
        <v>743.2</v>
      </c>
      <c r="H35" s="33">
        <f ca="1">814*OFFSET(H$112,MATCH($N$1,$C$112:$C$113,0)-1,0)</f>
        <v>814</v>
      </c>
      <c r="I35" s="33">
        <f ca="1">759.6*OFFSET(I$112,MATCH($N$1,$C$112:$C$113,0)-1,0)</f>
        <v>759.6</v>
      </c>
      <c r="J35" s="33">
        <f ca="1">633.9*OFFSET(J$112,MATCH($N$1,$C$112:$C$113,0)-1,0)</f>
        <v>633.9</v>
      </c>
      <c r="K35" s="33">
        <f ca="1">456.9*OFFSET(K$112,MATCH($N$1,$C$112:$C$113,0)-1,0)</f>
        <v>456.9</v>
      </c>
      <c r="L35" s="33">
        <f ca="1">365.5*OFFSET(L$112,MATCH($N$1,$C$112:$C$113,0)-1,0)</f>
        <v>365.5</v>
      </c>
      <c r="M35" s="33">
        <f ca="1">290.1*OFFSET(M$112,MATCH($N$1,$C$112:$C$113,0)-1,0)</f>
        <v>290.10000000000002</v>
      </c>
      <c r="N35" s="33">
        <v>318</v>
      </c>
      <c r="O35" s="29">
        <f t="shared" ca="1" si="0"/>
        <v>-0.49103713188220227</v>
      </c>
      <c r="P35" s="29">
        <f t="shared" ca="1" si="1"/>
        <v>-0.49834358731661144</v>
      </c>
    </row>
    <row r="36" spans="1:16" ht="18" customHeight="1" x14ac:dyDescent="0.2">
      <c r="A36" s="199"/>
      <c r="B36" s="42" t="s">
        <v>78</v>
      </c>
      <c r="C36" s="43"/>
      <c r="D36" s="43">
        <f ca="1">445.8*OFFSET(D$112,MATCH($N$1,$C$112:$C$113,0)-1,0)</f>
        <v>445.8</v>
      </c>
      <c r="E36" s="43">
        <f ca="1">254.1*OFFSET(E$112,MATCH($N$1,$C$112:$C$113,0)-1,0)</f>
        <v>254.1</v>
      </c>
      <c r="F36" s="43">
        <f ca="1">316*OFFSET(F$112,MATCH($N$1,$C$112:$C$113,0)-1,0)</f>
        <v>316</v>
      </c>
      <c r="G36" s="43">
        <f ca="1">342.2*OFFSET(G$112,MATCH($N$1,$C$112:$C$113,0)-1,0)</f>
        <v>342.2</v>
      </c>
      <c r="H36" s="43">
        <f ca="1">480.7*OFFSET(H$112,MATCH($N$1,$C$112:$C$113,0)-1,0)</f>
        <v>480.7</v>
      </c>
      <c r="I36" s="43">
        <f ca="1">444.9*OFFSET(I$112,MATCH($N$1,$C$112:$C$113,0)-1,0)</f>
        <v>444.9</v>
      </c>
      <c r="J36" s="43">
        <f ca="1">182.5*OFFSET(J$112,MATCH($N$1,$C$112:$C$113,0)-1,0)</f>
        <v>182.5</v>
      </c>
      <c r="K36" s="43">
        <f ca="1">203.7*OFFSET(K$112,MATCH($N$1,$C$112:$C$113,0)-1,0)</f>
        <v>203.7</v>
      </c>
      <c r="L36" s="43">
        <f ca="1">233.7*OFFSET(L$112,MATCH($N$1,$C$112:$C$113,0)-1,0)</f>
        <v>233.7</v>
      </c>
      <c r="M36" s="43">
        <f ca="1">89*OFFSET(M$112,MATCH($N$1,$C$112:$C$113,0)-1,0)</f>
        <v>89</v>
      </c>
      <c r="N36" s="43">
        <v>126.7</v>
      </c>
      <c r="O36" s="29">
        <f t="shared" ca="1" si="0"/>
        <v>-0.71579183490354426</v>
      </c>
      <c r="P36" s="29">
        <f t="shared" ca="1" si="1"/>
        <v>-0.30575342465753425</v>
      </c>
    </row>
    <row r="37" spans="1:16" ht="18" customHeight="1" x14ac:dyDescent="0.2">
      <c r="A37" s="199"/>
      <c r="B37" s="42" t="s">
        <v>79</v>
      </c>
      <c r="C37" s="43"/>
      <c r="D37" s="43">
        <f ca="1">183.1*OFFSET(D$112,MATCH($N$1,$C$112:$C$113,0)-1,0)</f>
        <v>183.1</v>
      </c>
      <c r="E37" s="43">
        <f ca="1">-22.7*OFFSET(E$112,MATCH($N$1,$C$112:$C$113,0)-1,0)</f>
        <v>-22.7</v>
      </c>
      <c r="F37" s="43">
        <f ca="1">148.4*OFFSET(F$112,MATCH($N$1,$C$112:$C$113,0)-1,0)</f>
        <v>148.4</v>
      </c>
      <c r="G37" s="43">
        <f ca="1">153*OFFSET(G$112,MATCH($N$1,$C$112:$C$113,0)-1,0)</f>
        <v>153</v>
      </c>
      <c r="H37" s="43">
        <f ca="1">340.5*OFFSET(H$112,MATCH($N$1,$C$112:$C$113,0)-1,0)</f>
        <v>340.5</v>
      </c>
      <c r="I37" s="43">
        <f ca="1">322.3*OFFSET(I$112,MATCH($N$1,$C$112:$C$113,0)-1,0)</f>
        <v>322.3</v>
      </c>
      <c r="J37" s="43">
        <f ca="1">96.9*OFFSET(J$112,MATCH($N$1,$C$112:$C$113,0)-1,0)</f>
        <v>96.9</v>
      </c>
      <c r="K37" s="43">
        <f ca="1">72.1*OFFSET(K$112,MATCH($N$1,$C$112:$C$113,0)-1,0)</f>
        <v>72.099999999999994</v>
      </c>
      <c r="L37" s="43">
        <f ca="1">94.8*OFFSET(L$112,MATCH($N$1,$C$112:$C$113,0)-1,0)</f>
        <v>94.8</v>
      </c>
      <c r="M37" s="43">
        <f ca="1">-0.9*OFFSET(M$112,MATCH($N$1,$C$112:$C$113,0)-1,0)</f>
        <v>-0.9</v>
      </c>
      <c r="N37" s="43">
        <v>26.3</v>
      </c>
      <c r="O37" s="29">
        <f t="shared" ca="1" si="0"/>
        <v>-0.85636264336428169</v>
      </c>
      <c r="P37" s="29">
        <f t="shared" ca="1" si="1"/>
        <v>-0.72858617131062953</v>
      </c>
    </row>
    <row r="38" spans="1:16" ht="18" customHeight="1" x14ac:dyDescent="0.2">
      <c r="A38" s="199"/>
      <c r="B38" s="37" t="s">
        <v>80</v>
      </c>
      <c r="C38" s="33"/>
      <c r="D38" s="33"/>
      <c r="E38" s="33">
        <f ca="1">5.7*OFFSET(E$112,MATCH($N$1,$C$112:$C$113,0)-1,0)</f>
        <v>5.7</v>
      </c>
      <c r="F38" s="33">
        <f ca="1">52.2*OFFSET(F$112,MATCH($N$1,$C$112:$C$113,0)-1,0)</f>
        <v>52.2</v>
      </c>
      <c r="G38" s="33">
        <f ca="1">54.2*OFFSET(G$112,MATCH($N$1,$C$112:$C$113,0)-1,0)</f>
        <v>54.2</v>
      </c>
      <c r="H38" s="33">
        <f ca="1">52.6*OFFSET(H$112,MATCH($N$1,$C$112:$C$113,0)-1,0)</f>
        <v>52.6</v>
      </c>
      <c r="I38" s="33">
        <f ca="1">46.3*OFFSET(I$112,MATCH($N$1,$C$112:$C$113,0)-1,0)</f>
        <v>46.3</v>
      </c>
      <c r="J38" s="33">
        <f ca="1">37.3*OFFSET(J$112,MATCH($N$1,$C$112:$C$113,0)-1,0)</f>
        <v>37.299999999999997</v>
      </c>
      <c r="K38" s="33">
        <f ca="1">32*OFFSET(K$112,MATCH($N$1,$C$112:$C$113,0)-1,0)</f>
        <v>32</v>
      </c>
      <c r="L38" s="33">
        <f ca="1">47.2*OFFSET(L$112,MATCH($N$1,$C$112:$C$113,0)-1,0)</f>
        <v>47.2</v>
      </c>
      <c r="M38" s="33">
        <f ca="1">42.8*OFFSET(M$112,MATCH($N$1,$C$112:$C$113,0)-1,0)</f>
        <v>42.8</v>
      </c>
      <c r="N38" s="33"/>
      <c r="O38" s="29" t="str">
        <f t="shared" si="0"/>
        <v/>
      </c>
      <c r="P38" s="29" t="str">
        <f t="shared" si="1"/>
        <v/>
      </c>
    </row>
    <row r="39" spans="1:16" ht="18" customHeight="1" x14ac:dyDescent="0.2">
      <c r="A39" s="199"/>
      <c r="B39" s="37" t="s">
        <v>81</v>
      </c>
      <c r="C39" s="33"/>
      <c r="D39" s="33"/>
      <c r="E39" s="33"/>
      <c r="F39" s="33">
        <f ca="1">3.7*OFFSET(F$112,MATCH($N$1,$C$112:$C$113,0)-1,0)</f>
        <v>3.7</v>
      </c>
      <c r="G39" s="33">
        <f ca="1">3.3*OFFSET(G$112,MATCH($N$1,$C$112:$C$113,0)-1,0)</f>
        <v>3.3</v>
      </c>
      <c r="H39" s="33">
        <f ca="1">3.4*OFFSET(H$112,MATCH($N$1,$C$112:$C$113,0)-1,0)</f>
        <v>3.4</v>
      </c>
      <c r="I39" s="33">
        <f ca="1">0.9*OFFSET(I$112,MATCH($N$1,$C$112:$C$113,0)-1,0)</f>
        <v>0.9</v>
      </c>
      <c r="J39" s="33">
        <f ca="1">1*OFFSET(J$112,MATCH($N$1,$C$112:$C$113,0)-1,0)</f>
        <v>1</v>
      </c>
      <c r="K39" s="33">
        <f ca="1">1.5*OFFSET(K$112,MATCH($N$1,$C$112:$C$113,0)-1,0)</f>
        <v>1.5</v>
      </c>
      <c r="L39" s="33">
        <f ca="1">0.9*OFFSET(L$112,MATCH($N$1,$C$112:$C$113,0)-1,0)</f>
        <v>0.9</v>
      </c>
      <c r="M39" s="33">
        <f ca="1">3.4*OFFSET(M$112,MATCH($N$1,$C$112:$C$113,0)-1,0)</f>
        <v>3.4</v>
      </c>
      <c r="N39" s="33"/>
      <c r="O39" s="29" t="str">
        <f t="shared" si="0"/>
        <v/>
      </c>
      <c r="P39" s="29" t="str">
        <f t="shared" si="1"/>
        <v/>
      </c>
    </row>
    <row r="40" spans="1:16" ht="18" customHeight="1" x14ac:dyDescent="0.2">
      <c r="A40" s="199"/>
      <c r="B40" s="37" t="s">
        <v>82</v>
      </c>
      <c r="C40" s="33"/>
      <c r="D40" s="33"/>
      <c r="E40" s="33">
        <f ca="1">1.1*OFFSET(E$112,MATCH($N$1,$C$112:$C$113,0)-1,0)</f>
        <v>1.1000000000000001</v>
      </c>
      <c r="F40" s="33">
        <f ca="1">2.3*OFFSET(F$112,MATCH($N$1,$C$112:$C$113,0)-1,0)</f>
        <v>2.2999999999999998</v>
      </c>
      <c r="G40" s="33">
        <f ca="1">1.9*OFFSET(G$112,MATCH($N$1,$C$112:$C$113,0)-1,0)</f>
        <v>1.9</v>
      </c>
      <c r="H40" s="33">
        <f ca="1">1.1*OFFSET(H$112,MATCH($N$1,$C$112:$C$113,0)-1,0)</f>
        <v>1.1000000000000001</v>
      </c>
      <c r="I40" s="33">
        <f ca="1">3*OFFSET(I$112,MATCH($N$1,$C$112:$C$113,0)-1,0)</f>
        <v>3</v>
      </c>
      <c r="J40" s="33">
        <f ca="1">0.8*OFFSET(J$112,MATCH($N$1,$C$112:$C$113,0)-1,0)</f>
        <v>0.8</v>
      </c>
      <c r="K40" s="33">
        <f ca="1">0.4*OFFSET(K$112,MATCH($N$1,$C$112:$C$113,0)-1,0)</f>
        <v>0.4</v>
      </c>
      <c r="L40" s="33">
        <f ca="1">5.5*OFFSET(L$112,MATCH($N$1,$C$112:$C$113,0)-1,0)</f>
        <v>5.5</v>
      </c>
      <c r="M40" s="33">
        <f ca="1">1.5*OFFSET(M$112,MATCH($N$1,$C$112:$C$113,0)-1,0)</f>
        <v>1.5</v>
      </c>
      <c r="N40" s="33"/>
      <c r="O40" s="29" t="str">
        <f t="shared" si="0"/>
        <v/>
      </c>
      <c r="P40" s="29" t="str">
        <f t="shared" si="1"/>
        <v/>
      </c>
    </row>
    <row r="41" spans="1:16" ht="18" customHeight="1" thickBot="1" x14ac:dyDescent="0.25">
      <c r="A41" s="200"/>
      <c r="B41" s="44" t="s">
        <v>83</v>
      </c>
      <c r="C41" s="45"/>
      <c r="D41" s="45"/>
      <c r="E41" s="45">
        <f ca="1">-29.5*OFFSET(E$112,MATCH($N$1,$C$112:$C$113,0)-1,0)</f>
        <v>-29.5</v>
      </c>
      <c r="F41" s="45">
        <f ca="1">90.2*OFFSET(F$112,MATCH($N$1,$C$112:$C$113,0)-1,0)</f>
        <v>90.2</v>
      </c>
      <c r="G41" s="45">
        <f ca="1">93.7*OFFSET(G$112,MATCH($N$1,$C$112:$C$113,0)-1,0)</f>
        <v>93.7</v>
      </c>
      <c r="H41" s="45">
        <f ca="1">283.4*OFFSET(H$112,MATCH($N$1,$C$112:$C$113,0)-1,0)</f>
        <v>283.39999999999998</v>
      </c>
      <c r="I41" s="45">
        <f ca="1">272.2*OFFSET(I$112,MATCH($N$1,$C$112:$C$113,0)-1,0)</f>
        <v>272.2</v>
      </c>
      <c r="J41" s="45">
        <f ca="1">57.8*OFFSET(J$112,MATCH($N$1,$C$112:$C$113,0)-1,0)</f>
        <v>57.8</v>
      </c>
      <c r="K41" s="45">
        <f ca="1">38.2*OFFSET(K$112,MATCH($N$1,$C$112:$C$113,0)-1,0)</f>
        <v>38.200000000000003</v>
      </c>
      <c r="L41" s="45">
        <f ca="1">41.2*OFFSET(L$112,MATCH($N$1,$C$112:$C$113,0)-1,0)</f>
        <v>41.2</v>
      </c>
      <c r="M41" s="45">
        <f ca="1">-54.7*OFFSET(M$112,MATCH($N$1,$C$112:$C$113,0)-1,0)</f>
        <v>-54.7</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22</v>
      </c>
      <c r="F46" s="94" t="s">
        <v>21</v>
      </c>
      <c r="G46" s="94" t="s">
        <v>22</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Longliners</v>
      </c>
      <c r="C48" s="96"/>
      <c r="D48" s="96"/>
      <c r="E48" s="96"/>
      <c r="F48" s="96"/>
      <c r="G48" s="96"/>
      <c r="K48" s="96" t="str">
        <f>$B24&amp;CHAR(10)&amp;$A$1</f>
        <v>Operating profit per kW day at sea (£)
Longliners</v>
      </c>
    </row>
    <row r="49" spans="1:11" s="82" customFormat="1" x14ac:dyDescent="0.2">
      <c r="A49" s="96" t="str">
        <f>$B22&amp;CHAR(10)&amp;$A$1</f>
        <v>Fishing income per kW day at sea (£)
Longliners</v>
      </c>
    </row>
    <row r="50" spans="1:11" s="82" customFormat="1" x14ac:dyDescent="0.2">
      <c r="A50" s="96" t="str">
        <f>$B20&amp;CHAR(10)&amp;$A$1</f>
        <v>Average price per tonne landed (£)
Longliners</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Longliners</v>
      </c>
      <c r="F62" s="96" t="str">
        <f>$B20&amp;CHAR(10)&amp;$A$1</f>
        <v>Average price per tonne landed (£)
Longliners</v>
      </c>
      <c r="K62" s="96" t="str">
        <f>"Average annual operating profit per vessel (£'000)"&amp;CHAR(10)&amp;$A$1</f>
        <v>Average annual operating profit per vessel (£'000)
Longliners</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Longliners</v>
      </c>
      <c r="F76" s="96" t="str">
        <f>"Top 5 landed species by value in "&amp;A77&amp;CHAR(10)&amp;A1</f>
        <v>Top 5 landed species by value in 2020
Longliners</v>
      </c>
    </row>
    <row r="77" spans="1:11" s="96" customFormat="1" x14ac:dyDescent="0.2">
      <c r="A77" s="96">
        <v>2020</v>
      </c>
      <c r="B77" s="96" t="s">
        <v>215</v>
      </c>
      <c r="C77" s="97">
        <v>0.60583609221915991</v>
      </c>
      <c r="D77" s="98">
        <v>12153634</v>
      </c>
      <c r="G77" s="96" t="s">
        <v>216</v>
      </c>
      <c r="H77" s="97">
        <v>0.56627186148715158</v>
      </c>
      <c r="I77" s="98">
        <v>12153634</v>
      </c>
      <c r="K77" s="96" t="s">
        <v>87</v>
      </c>
    </row>
    <row r="78" spans="1:11" s="96" customFormat="1" x14ac:dyDescent="0.2">
      <c r="B78" s="96" t="s">
        <v>217</v>
      </c>
      <c r="C78" s="97">
        <v>0.29594796734447015</v>
      </c>
      <c r="D78" s="98">
        <v>553960</v>
      </c>
      <c r="G78" s="96" t="s">
        <v>218</v>
      </c>
      <c r="H78" s="97">
        <v>0.21169234031685868</v>
      </c>
      <c r="I78" s="98">
        <v>553960</v>
      </c>
    </row>
    <row r="79" spans="1:11" s="96" customFormat="1" x14ac:dyDescent="0.2">
      <c r="B79" s="96" t="s">
        <v>219</v>
      </c>
      <c r="C79" s="97">
        <v>3.7115090483081342E-2</v>
      </c>
      <c r="D79" s="98">
        <v>3050596</v>
      </c>
      <c r="G79" s="96" t="s">
        <v>220</v>
      </c>
      <c r="H79" s="97">
        <v>0.14140963640404897</v>
      </c>
      <c r="I79" s="98">
        <v>3050596</v>
      </c>
    </row>
    <row r="80" spans="1:11" s="96" customFormat="1" x14ac:dyDescent="0.2">
      <c r="B80" s="96" t="s">
        <v>221</v>
      </c>
      <c r="C80" s="97">
        <v>2.9062762110517355E-2</v>
      </c>
      <c r="D80" s="98">
        <v>1692097</v>
      </c>
      <c r="G80" s="96" t="s">
        <v>222</v>
      </c>
      <c r="H80" s="97">
        <v>5.4967625041684127E-2</v>
      </c>
      <c r="I80" s="98">
        <v>1692097</v>
      </c>
    </row>
    <row r="81" spans="1:19" s="96" customFormat="1" x14ac:dyDescent="0.2">
      <c r="B81" s="96" t="s">
        <v>223</v>
      </c>
      <c r="C81" s="97">
        <v>1.0531730510556331E-2</v>
      </c>
      <c r="D81" s="98">
        <v>11115023</v>
      </c>
      <c r="G81" s="96" t="s">
        <v>224</v>
      </c>
      <c r="H81" s="97">
        <v>1.2219594922738983E-2</v>
      </c>
      <c r="I81" s="98">
        <v>3689192</v>
      </c>
    </row>
    <row r="82" spans="1:19" s="96" customFormat="1" x14ac:dyDescent="0.2">
      <c r="B82" s="96" t="s">
        <v>225</v>
      </c>
      <c r="C82" s="97">
        <v>2.1506357332214843E-2</v>
      </c>
      <c r="D82" s="98">
        <v>5920853</v>
      </c>
      <c r="G82" s="96" t="s">
        <v>226</v>
      </c>
      <c r="H82" s="97">
        <v>1.3438941827517703E-2</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99</v>
      </c>
      <c r="D92" s="102">
        <v>0.71833552528345601</v>
      </c>
      <c r="E92" s="102">
        <v>0.77251713704878411</v>
      </c>
      <c r="F92" s="102">
        <v>0.82886590506460256</v>
      </c>
      <c r="G92" s="102">
        <v>0.85433518841478073</v>
      </c>
      <c r="H92" s="102">
        <v>0.85288649757478618</v>
      </c>
      <c r="I92" s="102">
        <v>0.79342718085751596</v>
      </c>
      <c r="J92" s="102">
        <v>0.62623878460077564</v>
      </c>
      <c r="K92" s="102">
        <v>0.55037423250850659</v>
      </c>
      <c r="L92" s="102">
        <v>0.56627186148715158</v>
      </c>
      <c r="M92" s="102">
        <v>0.42770952374180521</v>
      </c>
      <c r="O92" s="96">
        <v>12153634</v>
      </c>
    </row>
    <row r="93" spans="1:19" s="96" customFormat="1" hidden="1" x14ac:dyDescent="0.2">
      <c r="B93" s="96">
        <v>2</v>
      </c>
      <c r="C93" s="96" t="s">
        <v>210</v>
      </c>
      <c r="D93" s="102">
        <v>0.1449734939832229</v>
      </c>
      <c r="E93" s="102">
        <v>9.8627719267732006E-2</v>
      </c>
      <c r="F93" s="102">
        <v>8.4828384703029266E-2</v>
      </c>
      <c r="G93" s="102">
        <v>8.6959471584404952E-2</v>
      </c>
      <c r="H93" s="102">
        <v>8.5779842221989241E-2</v>
      </c>
      <c r="I93" s="102">
        <v>0.10895526301548693</v>
      </c>
      <c r="J93" s="102">
        <v>0.13563223483278045</v>
      </c>
      <c r="K93" s="102">
        <v>0.18023410916818863</v>
      </c>
      <c r="L93" s="102">
        <v>0.21169234031685868</v>
      </c>
      <c r="M93" s="102">
        <v>0.18044892561043246</v>
      </c>
      <c r="O93" s="96">
        <v>553960</v>
      </c>
    </row>
    <row r="94" spans="1:19" s="96" customFormat="1" hidden="1" x14ac:dyDescent="0.2">
      <c r="B94" s="96">
        <v>3</v>
      </c>
      <c r="C94" s="96" t="s">
        <v>162</v>
      </c>
      <c r="D94" s="102">
        <v>7.2430259777672673E-2</v>
      </c>
      <c r="E94" s="102">
        <v>4.8218504913571207E-2</v>
      </c>
      <c r="F94" s="102">
        <v>2.773072738886798E-2</v>
      </c>
      <c r="G94" s="102">
        <v>1.0827484286813585E-2</v>
      </c>
      <c r="H94" s="102">
        <v>6.1800891198100748E-3</v>
      </c>
      <c r="I94" s="102">
        <v>4.1713843991407706E-2</v>
      </c>
      <c r="J94" s="102">
        <v>0.15464122720560539</v>
      </c>
      <c r="K94" s="102">
        <v>0.19685639576996816</v>
      </c>
      <c r="L94" s="102">
        <v>0.14140963640404897</v>
      </c>
      <c r="M94" s="102">
        <v>0.29285820333053658</v>
      </c>
      <c r="O94" s="96">
        <v>3050596</v>
      </c>
    </row>
    <row r="95" spans="1:19" s="96" customFormat="1" hidden="1" x14ac:dyDescent="0.2">
      <c r="B95" s="96">
        <v>4</v>
      </c>
      <c r="C95" s="96" t="s">
        <v>100</v>
      </c>
      <c r="D95" s="102">
        <v>2.3877009852350396E-2</v>
      </c>
      <c r="E95" s="102">
        <v>2.5070644811656256E-2</v>
      </c>
      <c r="F95" s="102">
        <v>2.3096498326687028E-2</v>
      </c>
      <c r="G95" s="102">
        <v>2.8381553718189002E-2</v>
      </c>
      <c r="H95" s="102">
        <v>3.6748776407222246E-2</v>
      </c>
      <c r="I95" s="102">
        <v>3.7127212273361167E-2</v>
      </c>
      <c r="J95" s="102">
        <v>4.5565192425725265E-2</v>
      </c>
      <c r="K95" s="102">
        <v>4.6610860935642213E-2</v>
      </c>
      <c r="L95" s="102">
        <v>5.4967625041684127E-2</v>
      </c>
      <c r="M95" s="102">
        <v>5.6758159245723062E-2</v>
      </c>
      <c r="O95" s="96">
        <v>1692097</v>
      </c>
    </row>
    <row r="96" spans="1:19" s="96" customFormat="1" hidden="1" x14ac:dyDescent="0.2">
      <c r="B96" s="96">
        <v>5</v>
      </c>
      <c r="C96" s="96" t="s">
        <v>101</v>
      </c>
      <c r="D96" s="102"/>
      <c r="E96" s="102"/>
      <c r="F96" s="102"/>
      <c r="G96" s="102"/>
      <c r="H96" s="102"/>
      <c r="I96" s="102"/>
      <c r="J96" s="102"/>
      <c r="K96" s="102">
        <v>6.4379576905784861E-3</v>
      </c>
      <c r="L96" s="102">
        <v>1.2219594922738983E-2</v>
      </c>
      <c r="M96" s="102"/>
      <c r="O96" s="96">
        <v>3689192</v>
      </c>
    </row>
    <row r="97" spans="1:15" s="96" customFormat="1" hidden="1" x14ac:dyDescent="0.2">
      <c r="B97" s="96">
        <v>6</v>
      </c>
      <c r="C97" s="96" t="s">
        <v>227</v>
      </c>
      <c r="D97" s="102"/>
      <c r="E97" s="102"/>
      <c r="F97" s="102"/>
      <c r="G97" s="102"/>
      <c r="H97" s="102"/>
      <c r="I97" s="102"/>
      <c r="J97" s="102"/>
      <c r="K97" s="102"/>
      <c r="L97" s="102"/>
      <c r="M97" s="102">
        <v>1.6552215617400702E-2</v>
      </c>
      <c r="O97" s="96">
        <v>11115023</v>
      </c>
    </row>
    <row r="98" spans="1:15" s="96" customFormat="1" hidden="1" x14ac:dyDescent="0.2">
      <c r="B98" s="96">
        <v>7</v>
      </c>
      <c r="C98" s="96" t="s">
        <v>143</v>
      </c>
      <c r="D98" s="102"/>
      <c r="E98" s="102"/>
      <c r="F98" s="102">
        <v>9.9895653939406012E-3</v>
      </c>
      <c r="G98" s="102"/>
      <c r="H98" s="102"/>
      <c r="I98" s="102"/>
      <c r="J98" s="102">
        <v>1.5393710909801709E-2</v>
      </c>
      <c r="K98" s="102"/>
      <c r="L98" s="102"/>
      <c r="M98" s="102"/>
      <c r="O98" s="96">
        <v>2480382</v>
      </c>
    </row>
    <row r="99" spans="1:15" s="96" customFormat="1" hidden="1" x14ac:dyDescent="0.2">
      <c r="B99" s="96">
        <v>8</v>
      </c>
      <c r="C99" s="96" t="s">
        <v>228</v>
      </c>
      <c r="D99" s="102"/>
      <c r="E99" s="102"/>
      <c r="F99" s="102"/>
      <c r="G99" s="102"/>
      <c r="H99" s="102"/>
      <c r="I99" s="102">
        <v>6.4617531661846908E-3</v>
      </c>
      <c r="J99" s="102"/>
      <c r="K99" s="102"/>
      <c r="L99" s="102"/>
      <c r="M99" s="102"/>
      <c r="O99" s="96">
        <v>7434864</v>
      </c>
    </row>
    <row r="100" spans="1:15" s="96" customFormat="1" hidden="1" x14ac:dyDescent="0.2">
      <c r="B100" s="96">
        <v>9</v>
      </c>
      <c r="C100" s="96" t="s">
        <v>229</v>
      </c>
      <c r="D100" s="102"/>
      <c r="E100" s="102"/>
      <c r="F100" s="102"/>
      <c r="G100" s="102">
        <v>4.866216476330832E-3</v>
      </c>
      <c r="H100" s="102">
        <v>5.9369859819705705E-3</v>
      </c>
      <c r="I100" s="102"/>
      <c r="J100" s="102"/>
      <c r="K100" s="102"/>
      <c r="L100" s="102"/>
      <c r="M100" s="102"/>
      <c r="O100" s="96">
        <v>8497745</v>
      </c>
    </row>
    <row r="101" spans="1:15" s="96" customFormat="1" hidden="1" x14ac:dyDescent="0.2">
      <c r="B101" s="96">
        <v>10</v>
      </c>
      <c r="C101" s="96" t="s">
        <v>230</v>
      </c>
      <c r="D101" s="102"/>
      <c r="E101" s="102">
        <v>1.9595248431234748E-2</v>
      </c>
      <c r="F101" s="102"/>
      <c r="G101" s="102"/>
      <c r="H101" s="102"/>
      <c r="I101" s="102"/>
      <c r="J101" s="102"/>
      <c r="K101" s="102"/>
      <c r="L101" s="102"/>
      <c r="M101" s="102"/>
      <c r="O101" s="96">
        <v>14393110</v>
      </c>
    </row>
    <row r="102" spans="1:15" s="96" customFormat="1" hidden="1" x14ac:dyDescent="0.2">
      <c r="B102" s="96">
        <v>11</v>
      </c>
      <c r="C102" s="96" t="s">
        <v>231</v>
      </c>
      <c r="D102" s="102">
        <v>1.7117804714606163E-2</v>
      </c>
      <c r="E102" s="102"/>
      <c r="F102" s="102"/>
      <c r="G102" s="102"/>
      <c r="H102" s="102"/>
      <c r="I102" s="102"/>
      <c r="J102" s="102"/>
      <c r="K102" s="102"/>
      <c r="L102" s="102"/>
      <c r="M102" s="102"/>
      <c r="O102" s="96">
        <v>2887140</v>
      </c>
    </row>
    <row r="103" spans="1:15" s="96" customFormat="1" hidden="1" x14ac:dyDescent="0.2">
      <c r="B103" s="96">
        <v>12</v>
      </c>
      <c r="C103" s="96" t="s">
        <v>107</v>
      </c>
      <c r="D103" s="102">
        <v>2.3265906388691814E-2</v>
      </c>
      <c r="E103" s="102">
        <v>3.5970745527021696E-2</v>
      </c>
      <c r="F103" s="102">
        <v>2.5488919122872579E-2</v>
      </c>
      <c r="G103" s="102">
        <v>1.4630085519480931E-2</v>
      </c>
      <c r="H103" s="102">
        <v>1.2467808694221654E-2</v>
      </c>
      <c r="I103" s="102">
        <v>1.231474669604357E-2</v>
      </c>
      <c r="J103" s="102">
        <v>2.2528850025311527E-2</v>
      </c>
      <c r="K103" s="102">
        <v>1.948644392711588E-2</v>
      </c>
      <c r="L103" s="102">
        <v>1.3438941827517608E-2</v>
      </c>
      <c r="M103" s="102">
        <v>2.5672972454102022E-2</v>
      </c>
      <c r="O103" s="96">
        <v>5920853</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13</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8</v>
      </c>
      <c r="D120" s="56">
        <v>15</v>
      </c>
      <c r="E120" s="56">
        <v>8</v>
      </c>
      <c r="F120" s="57">
        <v>26</v>
      </c>
    </row>
    <row r="121" spans="1:15" ht="18" customHeight="1" x14ac:dyDescent="0.2">
      <c r="A121" s="194" t="s">
        <v>27</v>
      </c>
      <c r="B121" s="35" t="s">
        <v>62</v>
      </c>
      <c r="C121" s="58">
        <v>11.104999542236328</v>
      </c>
      <c r="D121" s="58">
        <v>27.771333058675129</v>
      </c>
      <c r="E121" s="58">
        <v>14.208749771118164</v>
      </c>
      <c r="F121" s="59">
        <v>19.956153869628906</v>
      </c>
    </row>
    <row r="122" spans="1:15" ht="18" customHeight="1" x14ac:dyDescent="0.2">
      <c r="A122" s="195"/>
      <c r="B122" s="37" t="s">
        <v>55</v>
      </c>
      <c r="C122" s="60">
        <v>139.875</v>
      </c>
      <c r="D122" s="60">
        <v>449.93333129882814</v>
      </c>
      <c r="E122" s="60">
        <v>206.5</v>
      </c>
      <c r="F122" s="61">
        <v>290.07693481445313</v>
      </c>
    </row>
    <row r="123" spans="1:15" ht="18" customHeight="1" x14ac:dyDescent="0.2">
      <c r="A123" s="195"/>
      <c r="B123" s="37" t="s">
        <v>56</v>
      </c>
      <c r="C123" s="60">
        <v>15.625</v>
      </c>
      <c r="D123" s="60">
        <v>213.33333282470704</v>
      </c>
      <c r="E123" s="60">
        <v>41.125</v>
      </c>
      <c r="F123" s="61">
        <v>120.88461303710938</v>
      </c>
    </row>
    <row r="124" spans="1:15" ht="18" customHeight="1" x14ac:dyDescent="0.2">
      <c r="A124" s="195"/>
      <c r="B124" s="37" t="s">
        <v>57</v>
      </c>
      <c r="C124" s="60">
        <v>110.35772705078125</v>
      </c>
      <c r="D124" s="60">
        <v>396.35775146484377</v>
      </c>
      <c r="E124" s="60">
        <v>165.46795654296875</v>
      </c>
      <c r="F124" s="61">
        <v>254.74957275390625</v>
      </c>
    </row>
    <row r="125" spans="1:15" ht="18" customHeight="1" x14ac:dyDescent="0.2">
      <c r="A125" s="195"/>
      <c r="B125" s="37" t="s">
        <v>58</v>
      </c>
      <c r="C125" s="33">
        <v>40.821598052978516</v>
      </c>
      <c r="D125" s="33">
        <v>305.74966023763022</v>
      </c>
      <c r="E125" s="33">
        <v>58.558223724365234</v>
      </c>
      <c r="F125" s="62">
        <v>138.67507934570313</v>
      </c>
    </row>
    <row r="126" spans="1:15" ht="18" customHeight="1" x14ac:dyDescent="0.2">
      <c r="A126" s="195"/>
      <c r="B126" s="37" t="s">
        <v>63</v>
      </c>
      <c r="C126" s="33">
        <f ca="1">330.5106875*OFFSET($L$112,MATCH($N$1,$C$112:$C$113,0)-1,0)</f>
        <v>330.51068750000002</v>
      </c>
      <c r="D126" s="33">
        <f ca="1">676.662379166667*OFFSET($L$112,MATCH($N$1,$C$112:$C$113,0)-1,0)</f>
        <v>676.66237916666705</v>
      </c>
      <c r="E126" s="33">
        <f ca="1">152.039578125*OFFSET($L$112,MATCH($N$1,$C$112:$C$113,0)-1,0)</f>
        <v>152.03957812499999</v>
      </c>
      <c r="F126" s="62">
        <f ca="1">278.9908125*OFFSET($L$112,MATCH($N$1,$C$112:$C$113,0)-1,0)</f>
        <v>278.9908125</v>
      </c>
    </row>
    <row r="127" spans="1:15" ht="18" customHeight="1" x14ac:dyDescent="0.2">
      <c r="A127" s="195"/>
      <c r="B127" s="37" t="s">
        <v>60</v>
      </c>
      <c r="C127" s="60">
        <v>94.125</v>
      </c>
      <c r="D127" s="60">
        <v>212.26666971842448</v>
      </c>
      <c r="E127" s="60">
        <v>136.875</v>
      </c>
      <c r="F127" s="61">
        <v>146.88461303710938</v>
      </c>
    </row>
    <row r="128" spans="1:15" ht="18" customHeight="1" x14ac:dyDescent="0.2">
      <c r="A128" s="195"/>
      <c r="B128" s="37" t="s">
        <v>64</v>
      </c>
      <c r="C128" s="60">
        <v>32.625</v>
      </c>
      <c r="D128" s="60">
        <v>41.00000025431315</v>
      </c>
      <c r="E128" s="60">
        <v>41</v>
      </c>
      <c r="F128" s="61">
        <v>40.769229888916016</v>
      </c>
    </row>
    <row r="129" spans="1:15" ht="18" customHeight="1" x14ac:dyDescent="0.2">
      <c r="A129" s="195"/>
      <c r="B129" s="37" t="s">
        <v>65</v>
      </c>
      <c r="C129" s="63">
        <v>0.43369558453559875</v>
      </c>
      <c r="D129" s="63">
        <v>1.4404035294057829</v>
      </c>
      <c r="E129" s="63">
        <v>0.42782264947891235</v>
      </c>
      <c r="F129" s="64">
        <v>0.94410896301269531</v>
      </c>
    </row>
    <row r="130" spans="1:15" ht="18" customHeight="1" x14ac:dyDescent="0.2">
      <c r="A130" s="196"/>
      <c r="B130" s="39" t="s">
        <v>28</v>
      </c>
      <c r="C130" s="40">
        <f ca="1">8096.46616653913*OFFSET($L$112,MATCH($N$1,$C$112:$C$113,0)-1,0)</f>
        <v>8096.4661665391304</v>
      </c>
      <c r="D130" s="40">
        <f ca="1">2213.12553100063*OFFSET($L$112,MATCH($N$1,$C$112:$C$113,0)-1,0)</f>
        <v>2213.12553100063</v>
      </c>
      <c r="E130" s="40">
        <f ca="1">2596.38302624501*OFFSET($L$112,MATCH($N$1,$C$112:$C$113,0)-1,0)</f>
        <v>2596.3830262450101</v>
      </c>
      <c r="F130" s="65">
        <f ca="1">2012*OFFSET($L$112,MATCH($N$1,$C$112:$C$113,0)-1,0)</f>
        <v>2012</v>
      </c>
    </row>
    <row r="131" spans="1:15" ht="18" customHeight="1" x14ac:dyDescent="0.2">
      <c r="A131" s="205" t="s">
        <v>29</v>
      </c>
      <c r="B131" s="35" t="s">
        <v>66</v>
      </c>
      <c r="C131" s="66">
        <v>3.3048239111066735</v>
      </c>
      <c r="D131" s="66">
        <v>2.8194087860065609</v>
      </c>
      <c r="E131" s="66">
        <v>1.8535116017920112</v>
      </c>
      <c r="F131" s="67">
        <v>2.3381308460564778</v>
      </c>
    </row>
    <row r="132" spans="1:15" ht="18" customHeight="1" x14ac:dyDescent="0.2">
      <c r="A132" s="206"/>
      <c r="B132" s="37" t="s">
        <v>67</v>
      </c>
      <c r="C132" s="63">
        <f ca="1">26.7573949826447*OFFSET($L$112,MATCH($N$1,$C$112:$C$113,0)-1,0)</f>
        <v>26.757394982644701</v>
      </c>
      <c r="D132" s="63">
        <f ca="1">6.2397055666386*OFFSET($L$112,MATCH($N$1,$C$112:$C$113,0)-1,0)</f>
        <v>6.2397055666385999</v>
      </c>
      <c r="E132" s="63">
        <f ca="1">4.81242606184099*OFFSET($L$112,MATCH($N$1,$C$112:$C$113,0)-1,0)</f>
        <v>4.8124260618409904</v>
      </c>
      <c r="F132" s="64">
        <f ca="1">4.7039239317574*OFFSET($L$112,MATCH($N$1,$C$112:$C$113,0)-1,0)</f>
        <v>4.7039239317573998</v>
      </c>
    </row>
    <row r="133" spans="1:15" ht="18" customHeight="1" x14ac:dyDescent="0.2">
      <c r="A133" s="206"/>
      <c r="B133" s="37" t="s">
        <v>11</v>
      </c>
      <c r="C133" s="63">
        <f ca="1">17.6351848619165*OFFSET($L$112,MATCH($N$1,$C$112:$C$113,0)-1,0)</f>
        <v>17.6351848619165</v>
      </c>
      <c r="D133" s="63">
        <f ca="1">4.97305853893568*OFFSET($L$112,MATCH($N$1,$C$112:$C$113,0)-1,0)</f>
        <v>4.9730585389356801</v>
      </c>
      <c r="E133" s="63">
        <f ca="1">4.90222174585551*OFFSET($L$112,MATCH($N$1,$C$112:$C$113,0)-1,0)</f>
        <v>4.9022217458555097</v>
      </c>
      <c r="F133" s="64">
        <f ca="1">4.71939320884348*OFFSET($L$112,MATCH($N$1,$C$112:$C$113,0)-1,0)</f>
        <v>4.7193932088434796</v>
      </c>
    </row>
    <row r="134" spans="1:15" ht="18" customHeight="1" x14ac:dyDescent="0.2">
      <c r="A134" s="207"/>
      <c r="B134" s="39" t="s">
        <v>12</v>
      </c>
      <c r="C134" s="68">
        <f ca="1">9.12221012072821*OFFSET($L$112,MATCH($N$1,$C$112:$C$113,0)-1,0)</f>
        <v>9.1222101207282105</v>
      </c>
      <c r="D134" s="68">
        <f ca="1">1.26664702770292*OFFSET($L$112,MATCH($N$1,$C$112:$C$113,0)-1,0)</f>
        <v>1.26664702770292</v>
      </c>
      <c r="E134" s="68">
        <f ca="1">-0.0897956840145206*OFFSET($L$112,MATCH($N$1,$C$112:$C$113,0)-1,0)</f>
        <v>-8.9795684014520594E-2</v>
      </c>
      <c r="F134" s="69">
        <f ca="1">-0.0154692770860766*OFFSET($L$112,MATCH($N$1,$C$112:$C$113,0)-1,0)</f>
        <v>-1.5469277086076601E-2</v>
      </c>
    </row>
    <row r="135" spans="1:15" ht="18" customHeight="1" x14ac:dyDescent="0.2">
      <c r="A135" s="208" t="s">
        <v>49</v>
      </c>
      <c r="B135" s="37" t="s">
        <v>109</v>
      </c>
      <c r="C135" s="70">
        <f ca="1">38.4540390625*OFFSET($L$112,MATCH($N$1,$C$112:$C$113,0)-1,0)</f>
        <v>38.454039062500001</v>
      </c>
      <c r="D135" s="70">
        <f ca="1">172.056551041667*OFFSET($L$112,MATCH($N$1,$C$112:$C$113,0)-1,0)</f>
        <v>172.05655104166701</v>
      </c>
      <c r="E135" s="70">
        <f ca="1">72.3601015625*OFFSET($L$112,MATCH($N$1,$C$112:$C$113,0)-1,0)</f>
        <v>72.360101562500006</v>
      </c>
      <c r="F135" s="71">
        <f ca="1">73.5452578125*OFFSET($L$112,MATCH($N$1,$C$112:$C$113,0)-1,0)</f>
        <v>73.545257812499997</v>
      </c>
    </row>
    <row r="136" spans="1:15" ht="18" customHeight="1" x14ac:dyDescent="0.2">
      <c r="A136" s="209"/>
      <c r="B136" s="37" t="s">
        <v>110</v>
      </c>
      <c r="C136" s="31">
        <v>73856.252105712891</v>
      </c>
      <c r="D136" s="31">
        <v>331340.00041417533</v>
      </c>
      <c r="E136" s="31">
        <v>138906.25373840332</v>
      </c>
      <c r="F136" s="72">
        <v>197684.61538461538</v>
      </c>
    </row>
    <row r="137" spans="1:15" ht="18" customHeight="1" x14ac:dyDescent="0.2">
      <c r="A137" s="209"/>
      <c r="B137" s="37" t="s">
        <v>111</v>
      </c>
      <c r="C137" s="31">
        <v>784.661376953125</v>
      </c>
      <c r="D137" s="31">
        <v>1560.9610347856483</v>
      </c>
      <c r="E137" s="31">
        <v>1014.8402099609375</v>
      </c>
      <c r="F137" s="72">
        <v>1345.8497314453125</v>
      </c>
    </row>
    <row r="138" spans="1:15" ht="18" customHeight="1" x14ac:dyDescent="0.2">
      <c r="A138" s="209"/>
      <c r="B138" s="37" t="s">
        <v>112</v>
      </c>
      <c r="C138" s="31">
        <f ca="1">408.542247675963*OFFSET($L$112,MATCH($N$1,$C$112:$C$113,0)-1,0)</f>
        <v>408.54224767596298</v>
      </c>
      <c r="D138" s="31">
        <f ca="1">810.567910967383*OFFSET($L$112,MATCH($N$1,$C$112:$C$113,0)-1,0)</f>
        <v>810.567910967383</v>
      </c>
      <c r="E138" s="31">
        <f ca="1">528.658276255708*OFFSET($L$112,MATCH($N$1,$C$112:$C$113,0)-1,0)</f>
        <v>528.65827625570796</v>
      </c>
      <c r="F138" s="72">
        <f ca="1">500.700899105881*OFFSET($L$112,MATCH($N$1,$C$112:$C$113,0)-1,0)</f>
        <v>500.70089910588098</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942.002295270119*OFFSET($L$112,MATCH($N$1,$C$112:$C$113,0)-1,0)</f>
        <v>942.00229527011902</v>
      </c>
      <c r="D139" s="31">
        <f ca="1">562.736687615428*OFFSET($L$112,MATCH($N$1,$C$112:$C$113,0)-1,0)</f>
        <v>562.73668761542797</v>
      </c>
      <c r="E139" s="31">
        <f ca="1">1235.69495384799*OFFSET($L$112,MATCH($N$1,$C$112:$C$113,0)-1,0)</f>
        <v>1235.6949538479901</v>
      </c>
      <c r="F139" s="72">
        <f ca="1">530.342280383046*OFFSET($L$112,MATCH($N$1,$C$112:$C$113,0)-1,0)</f>
        <v>530.34228038304605</v>
      </c>
      <c r="I139" s="48"/>
      <c r="K139" s="73" t="s">
        <v>114</v>
      </c>
      <c r="L139" s="74">
        <f t="shared" ref="L139:M141" ca="1" si="2">C140</f>
        <v>336.60862500000002</v>
      </c>
      <c r="M139" s="74">
        <f t="shared" ca="1" si="2"/>
        <v>689.14683333333301</v>
      </c>
      <c r="N139" s="74">
        <f ca="1">E140</f>
        <v>154.84471875</v>
      </c>
      <c r="O139" s="74"/>
    </row>
    <row r="140" spans="1:15" ht="18" customHeight="1" x14ac:dyDescent="0.2">
      <c r="A140" s="187" t="s">
        <v>50</v>
      </c>
      <c r="B140" s="35" t="s">
        <v>115</v>
      </c>
      <c r="C140" s="75">
        <f ca="1">336.608625*OFFSET($L$112,MATCH($N$1,$C$112:$C$113,0)-1,0)</f>
        <v>336.60862500000002</v>
      </c>
      <c r="D140" s="75">
        <f ca="1">689.146833333333*OFFSET($L$112,MATCH($N$1,$C$112:$C$113,0)-1,0)</f>
        <v>689.14683333333301</v>
      </c>
      <c r="E140" s="75">
        <f ca="1">154.84471875*OFFSET($L$112,MATCH($N$1,$C$112:$C$113,0)-1,0)</f>
        <v>154.84471875</v>
      </c>
      <c r="F140" s="76">
        <f ca="1">289.15990625*OFFSET($L$112,MATCH($N$1,$C$112:$C$113,0)-1,0)</f>
        <v>289.15990625000001</v>
      </c>
      <c r="I140" s="48"/>
      <c r="K140" s="73" t="s">
        <v>116</v>
      </c>
      <c r="L140" s="74">
        <f t="shared" ca="1" si="2"/>
        <v>223.92996875</v>
      </c>
      <c r="M140" s="74">
        <f t="shared" ca="1" si="2"/>
        <v>551.78580208333301</v>
      </c>
      <c r="N140" s="74">
        <f ca="1">E141</f>
        <v>157.681640625</v>
      </c>
      <c r="O140" s="74"/>
    </row>
    <row r="141" spans="1:15" ht="18" customHeight="1" x14ac:dyDescent="0.2">
      <c r="A141" s="188"/>
      <c r="B141" s="37" t="s">
        <v>117</v>
      </c>
      <c r="C141" s="31">
        <f ca="1">223.92996875*OFFSET($L$112,MATCH($N$1,$C$112:$C$113,0)-1,0)</f>
        <v>223.92996875</v>
      </c>
      <c r="D141" s="31">
        <f ca="1">551.785802083333*OFFSET($L$112,MATCH($N$1,$C$112:$C$113,0)-1,0)</f>
        <v>551.78580208333301</v>
      </c>
      <c r="E141" s="31">
        <f ca="1">157.681640625*OFFSET($L$112,MATCH($N$1,$C$112:$C$113,0)-1,0)</f>
        <v>157.681640625</v>
      </c>
      <c r="F141" s="72">
        <f ca="1">290.07740625*OFFSET($L$112,MATCH($N$1,$C$112:$C$113,0)-1,0)</f>
        <v>290.07740625000002</v>
      </c>
      <c r="I141" s="48"/>
      <c r="K141" s="73" t="s">
        <v>118</v>
      </c>
      <c r="L141" s="74">
        <f t="shared" ca="1" si="2"/>
        <v>112.67865625</v>
      </c>
      <c r="M141" s="74">
        <f t="shared" ca="1" si="2"/>
        <v>137.36103125</v>
      </c>
      <c r="N141" s="74">
        <f ca="1">E142</f>
        <v>-2.8369218749999998</v>
      </c>
      <c r="O141" s="74"/>
    </row>
    <row r="142" spans="1:15" ht="18" customHeight="1" x14ac:dyDescent="0.2">
      <c r="A142" s="189"/>
      <c r="B142" s="39" t="s">
        <v>119</v>
      </c>
      <c r="C142" s="40">
        <f ca="1">112.67865625*OFFSET($L$112,MATCH($N$1,$C$112:$C$113,0)-1,0)</f>
        <v>112.67865625</v>
      </c>
      <c r="D142" s="40">
        <f ca="1">137.36103125*OFFSET($L$112,MATCH($N$1,$C$112:$C$113,0)-1,0)</f>
        <v>137.36103125</v>
      </c>
      <c r="E142" s="40">
        <f ca="1">-2.836921875*OFFSET($L$112,MATCH($N$1,$C$112:$C$113,0)-1,0)</f>
        <v>-2.8369218749999998</v>
      </c>
      <c r="F142" s="65">
        <f ca="1">-0.917486389160156*OFFSET($L$112,MATCH($N$1,$C$112:$C$113,0)-1,0)</f>
        <v>-0.91748638916015601</v>
      </c>
      <c r="I142" s="48"/>
      <c r="K142" s="73" t="s">
        <v>120</v>
      </c>
      <c r="L142" s="77">
        <f ca="1">IFERROR(L140/L$139,"")</f>
        <v>0.66525321135190751</v>
      </c>
      <c r="M142" s="77">
        <f t="shared" ref="M142:N143" ca="1" si="3">IFERROR(M140/M$139,"")</f>
        <v>0.80067958727228172</v>
      </c>
      <c r="N142" s="77">
        <f t="shared" ca="1" si="3"/>
        <v>1.0183210760941759</v>
      </c>
      <c r="O142" s="77"/>
    </row>
    <row r="143" spans="1:15" ht="18" customHeight="1" x14ac:dyDescent="0.2">
      <c r="I143" s="48"/>
      <c r="K143" s="73" t="s">
        <v>121</v>
      </c>
      <c r="L143" s="77">
        <f ca="1">IFERROR(L141/L$139,"")</f>
        <v>0.33474678864809243</v>
      </c>
      <c r="M143" s="77">
        <f t="shared" ca="1" si="3"/>
        <v>0.19932041272771825</v>
      </c>
      <c r="N143" s="77">
        <f t="shared" ca="1" si="3"/>
        <v>-1.8321076094175798E-2</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9</v>
      </c>
      <c r="B161" s="53"/>
      <c r="C161" s="78" t="s">
        <v>45</v>
      </c>
      <c r="D161" s="78" t="s">
        <v>122</v>
      </c>
      <c r="E161" s="78" t="s">
        <v>47</v>
      </c>
      <c r="F161" s="78" t="s">
        <v>123</v>
      </c>
      <c r="G161" s="79">
        <v>8</v>
      </c>
      <c r="H161" s="78"/>
      <c r="I161" s="78" t="s">
        <v>45</v>
      </c>
      <c r="J161" s="78" t="s">
        <v>122</v>
      </c>
      <c r="K161" s="78" t="s">
        <v>47</v>
      </c>
      <c r="L161" s="53" t="s">
        <v>123</v>
      </c>
      <c r="R161" s="21"/>
      <c r="S161" s="21"/>
    </row>
    <row r="162" spans="1:19" s="48" customFormat="1" x14ac:dyDescent="0.2">
      <c r="A162" s="49">
        <v>1</v>
      </c>
      <c r="B162" s="53" t="s">
        <v>99</v>
      </c>
      <c r="C162" s="53">
        <v>0</v>
      </c>
      <c r="D162" s="53">
        <v>0.62090799877960379</v>
      </c>
      <c r="E162" s="53">
        <v>0.65798503884902282</v>
      </c>
      <c r="F162" s="49">
        <v>12153634</v>
      </c>
      <c r="G162" s="49">
        <v>1</v>
      </c>
      <c r="H162" s="53" t="s">
        <v>99</v>
      </c>
      <c r="I162" s="53">
        <v>0</v>
      </c>
      <c r="J162" s="53">
        <v>0.64643643342789658</v>
      </c>
      <c r="K162" s="53">
        <v>0.66129349429576945</v>
      </c>
      <c r="L162" s="49">
        <v>12153634</v>
      </c>
      <c r="R162" s="21"/>
      <c r="S162" s="21"/>
    </row>
    <row r="163" spans="1:19" s="48" customFormat="1" x14ac:dyDescent="0.2">
      <c r="A163" s="49">
        <v>2</v>
      </c>
      <c r="B163" s="53" t="s">
        <v>210</v>
      </c>
      <c r="C163" s="53">
        <v>0</v>
      </c>
      <c r="D163" s="53">
        <v>0.31116398663070893</v>
      </c>
      <c r="E163" s="53">
        <v>0.30128190021706652</v>
      </c>
      <c r="F163" s="49">
        <v>553960</v>
      </c>
      <c r="G163" s="49">
        <v>2</v>
      </c>
      <c r="H163" s="53" t="s">
        <v>210</v>
      </c>
      <c r="I163" s="53">
        <v>0</v>
      </c>
      <c r="J163" s="53">
        <v>0.23742177648308835</v>
      </c>
      <c r="K163" s="53">
        <v>0.25895078777549069</v>
      </c>
      <c r="L163" s="49">
        <v>553960</v>
      </c>
      <c r="N163" s="48" t="s">
        <v>124</v>
      </c>
      <c r="R163" s="21"/>
      <c r="S163" s="21"/>
    </row>
    <row r="164" spans="1:19" s="48" customFormat="1" x14ac:dyDescent="0.2">
      <c r="A164" s="49">
        <v>3</v>
      </c>
      <c r="B164" s="53" t="s">
        <v>100</v>
      </c>
      <c r="C164" s="53">
        <v>0.11573408040659605</v>
      </c>
      <c r="D164" s="53">
        <v>2.4566674115785444E-2</v>
      </c>
      <c r="E164" s="53">
        <v>6.0122143802323049E-3</v>
      </c>
      <c r="F164" s="49">
        <v>1692097</v>
      </c>
      <c r="G164" s="49">
        <v>3</v>
      </c>
      <c r="H164" s="53" t="s">
        <v>100</v>
      </c>
      <c r="I164" s="53">
        <v>5.6020373078734212E-2</v>
      </c>
      <c r="J164" s="53">
        <v>5.059188439101929E-2</v>
      </c>
      <c r="K164" s="53">
        <v>1.3928804527901302E-2</v>
      </c>
      <c r="L164" s="49">
        <v>1692097</v>
      </c>
      <c r="N164" s="48" t="s">
        <v>125</v>
      </c>
      <c r="R164" s="21"/>
      <c r="S164" s="21"/>
    </row>
    <row r="165" spans="1:19" s="48" customFormat="1" x14ac:dyDescent="0.2">
      <c r="A165" s="49">
        <v>4</v>
      </c>
      <c r="B165" s="53" t="s">
        <v>229</v>
      </c>
      <c r="C165" s="53">
        <v>0</v>
      </c>
      <c r="D165" s="53">
        <v>1.2999239709847683E-2</v>
      </c>
      <c r="E165" s="53">
        <v>0</v>
      </c>
      <c r="F165" s="49">
        <v>11115023</v>
      </c>
      <c r="G165" s="49">
        <v>4</v>
      </c>
      <c r="H165" s="53" t="s">
        <v>162</v>
      </c>
      <c r="I165" s="53">
        <v>0.31487010511681446</v>
      </c>
      <c r="J165" s="53">
        <v>3.6441060046749636E-2</v>
      </c>
      <c r="K165" s="53">
        <v>3.9490996918029327E-2</v>
      </c>
      <c r="L165" s="49">
        <v>3050596</v>
      </c>
      <c r="R165" s="21"/>
      <c r="S165" s="21"/>
    </row>
    <row r="166" spans="1:19" s="48" customFormat="1" x14ac:dyDescent="0.2">
      <c r="A166" s="49">
        <v>5</v>
      </c>
      <c r="B166" s="53" t="s">
        <v>101</v>
      </c>
      <c r="C166" s="53">
        <v>0</v>
      </c>
      <c r="D166" s="53">
        <v>9.5296150463201074E-3</v>
      </c>
      <c r="E166" s="53">
        <v>7.0727990135228767E-3</v>
      </c>
      <c r="F166" s="49">
        <v>3689192</v>
      </c>
      <c r="G166" s="49">
        <v>5</v>
      </c>
      <c r="H166" s="53" t="s">
        <v>101</v>
      </c>
      <c r="I166" s="53">
        <v>0</v>
      </c>
      <c r="J166" s="53">
        <v>1.4407750982328226E-2</v>
      </c>
      <c r="K166" s="53">
        <v>1.3001244986496218E-2</v>
      </c>
      <c r="L166" s="49">
        <v>3689192</v>
      </c>
      <c r="R166" s="21"/>
      <c r="S166" s="21"/>
    </row>
    <row r="167" spans="1:19" s="48" customFormat="1" x14ac:dyDescent="0.2">
      <c r="A167" s="49">
        <v>6</v>
      </c>
      <c r="B167" s="53" t="s">
        <v>162</v>
      </c>
      <c r="C167" s="53">
        <v>0.31795789550213216</v>
      </c>
      <c r="D167" s="53">
        <v>0</v>
      </c>
      <c r="E167" s="53">
        <v>8.8679130392198199E-3</v>
      </c>
      <c r="F167" s="49">
        <v>3050596</v>
      </c>
      <c r="G167" s="49">
        <v>6</v>
      </c>
      <c r="H167" s="53" t="s">
        <v>102</v>
      </c>
      <c r="I167" s="53">
        <v>1.5606819761662137E-4</v>
      </c>
      <c r="J167" s="53">
        <v>0</v>
      </c>
      <c r="K167" s="53">
        <v>0</v>
      </c>
      <c r="L167" s="49">
        <v>2480382</v>
      </c>
      <c r="R167" s="21"/>
      <c r="S167" s="21"/>
    </row>
    <row r="168" spans="1:19" s="48" customFormat="1" x14ac:dyDescent="0.2">
      <c r="A168" s="49">
        <v>7</v>
      </c>
      <c r="B168" s="53" t="s">
        <v>102</v>
      </c>
      <c r="C168" s="53">
        <v>2.2965784828810713E-4</v>
      </c>
      <c r="D168" s="53">
        <v>0</v>
      </c>
      <c r="E168" s="53">
        <v>0</v>
      </c>
      <c r="F168" s="49">
        <v>2480382</v>
      </c>
      <c r="G168" s="49">
        <v>7</v>
      </c>
      <c r="H168" s="53" t="s">
        <v>107</v>
      </c>
      <c r="I168" s="53">
        <v>0</v>
      </c>
      <c r="J168" s="53">
        <v>1.4701094668917891E-2</v>
      </c>
      <c r="K168" s="53">
        <v>1.3334671496312844E-2</v>
      </c>
      <c r="L168" s="49">
        <v>5920853</v>
      </c>
      <c r="R168" s="21"/>
      <c r="S168" s="21"/>
    </row>
    <row r="169" spans="1:19" s="48" customFormat="1" x14ac:dyDescent="0.2">
      <c r="A169" s="49">
        <v>8</v>
      </c>
      <c r="B169" s="53" t="s">
        <v>107</v>
      </c>
      <c r="C169" s="53">
        <v>0</v>
      </c>
      <c r="D169" s="53">
        <v>2.0832485717733995E-2</v>
      </c>
      <c r="E169" s="53">
        <v>1.8780134500935741E-2</v>
      </c>
      <c r="F169" s="49">
        <v>5920853</v>
      </c>
      <c r="G169" s="49">
        <v>8</v>
      </c>
      <c r="H169" s="53"/>
      <c r="I169" s="53">
        <v>0</v>
      </c>
      <c r="J169" s="53">
        <v>0</v>
      </c>
      <c r="K169" s="53">
        <v>0</v>
      </c>
      <c r="L169" s="49">
        <v>2480382</v>
      </c>
      <c r="R169" s="21"/>
      <c r="S169" s="21"/>
    </row>
    <row r="170" spans="1:19" s="48" customFormat="1" x14ac:dyDescent="0.2">
      <c r="A170" s="49">
        <v>9</v>
      </c>
      <c r="B170" s="53"/>
      <c r="C170" s="53">
        <v>0</v>
      </c>
      <c r="D170" s="53">
        <v>0</v>
      </c>
      <c r="E170" s="53">
        <v>0</v>
      </c>
      <c r="F170" s="49">
        <v>2480382</v>
      </c>
      <c r="G170" s="49">
        <v>9</v>
      </c>
      <c r="H170" s="53"/>
      <c r="I170" s="53">
        <v>0</v>
      </c>
      <c r="J170" s="53">
        <v>0</v>
      </c>
      <c r="K170" s="53">
        <v>0</v>
      </c>
      <c r="L170" s="49">
        <v>2480382</v>
      </c>
      <c r="R170" s="21"/>
      <c r="S170" s="21"/>
    </row>
    <row r="171" spans="1:19" s="48" customFormat="1" x14ac:dyDescent="0.2">
      <c r="A171" s="49">
        <v>10</v>
      </c>
      <c r="B171" s="53"/>
      <c r="C171" s="53">
        <v>0</v>
      </c>
      <c r="D171" s="53">
        <v>0</v>
      </c>
      <c r="E171" s="53">
        <v>0</v>
      </c>
      <c r="F171" s="49">
        <v>2480382</v>
      </c>
      <c r="G171" s="49">
        <v>10</v>
      </c>
      <c r="H171" s="53"/>
      <c r="I171" s="53">
        <v>0</v>
      </c>
      <c r="J171" s="53">
        <v>0</v>
      </c>
      <c r="K171" s="53">
        <v>0</v>
      </c>
      <c r="L171" s="49">
        <v>2480382</v>
      </c>
      <c r="R171" s="21"/>
      <c r="S171" s="21"/>
    </row>
    <row r="172" spans="1:19" s="48" customFormat="1" x14ac:dyDescent="0.2">
      <c r="A172" s="49">
        <v>11</v>
      </c>
      <c r="B172" s="53"/>
      <c r="C172" s="53">
        <v>0</v>
      </c>
      <c r="D172" s="53">
        <v>0</v>
      </c>
      <c r="E172" s="53">
        <v>0</v>
      </c>
      <c r="F172" s="49">
        <v>2480382</v>
      </c>
      <c r="G172" s="49">
        <v>11</v>
      </c>
      <c r="H172" s="53"/>
      <c r="I172" s="53">
        <v>0</v>
      </c>
      <c r="J172" s="53">
        <v>0</v>
      </c>
      <c r="K172" s="53">
        <v>0</v>
      </c>
      <c r="L172" s="49">
        <v>2480382</v>
      </c>
      <c r="R172" s="21"/>
      <c r="S172" s="21"/>
    </row>
    <row r="173" spans="1:19" s="48" customFormat="1" x14ac:dyDescent="0.2">
      <c r="A173" s="49">
        <v>12</v>
      </c>
      <c r="B173" s="53"/>
      <c r="C173" s="53">
        <v>0</v>
      </c>
      <c r="D173" s="53">
        <v>0</v>
      </c>
      <c r="E173" s="53">
        <v>0</v>
      </c>
      <c r="F173" s="49">
        <v>2480382</v>
      </c>
      <c r="G173" s="49">
        <v>12</v>
      </c>
      <c r="H173" s="53"/>
      <c r="I173" s="53">
        <v>0</v>
      </c>
      <c r="J173" s="53">
        <v>0</v>
      </c>
      <c r="K173" s="53">
        <v>0</v>
      </c>
      <c r="L173" s="49">
        <v>2480382</v>
      </c>
      <c r="R173" s="21"/>
      <c r="S173" s="21"/>
    </row>
    <row r="174" spans="1:19" s="48" customFormat="1" x14ac:dyDescent="0.2">
      <c r="A174" s="49">
        <v>13</v>
      </c>
      <c r="B174" s="53"/>
      <c r="C174" s="53">
        <v>0</v>
      </c>
      <c r="D174" s="53">
        <v>0</v>
      </c>
      <c r="E174" s="53">
        <v>0</v>
      </c>
      <c r="F174" s="49">
        <v>2480382</v>
      </c>
      <c r="G174" s="49">
        <v>13</v>
      </c>
      <c r="H174" s="53"/>
      <c r="I174" s="53">
        <v>0</v>
      </c>
      <c r="J174" s="53">
        <v>0</v>
      </c>
      <c r="K174" s="53">
        <v>0</v>
      </c>
      <c r="L174" s="49">
        <v>2480382</v>
      </c>
      <c r="R174" s="21"/>
      <c r="S174" s="21"/>
    </row>
    <row r="175" spans="1:19" s="48" customFormat="1" x14ac:dyDescent="0.2">
      <c r="A175" s="49">
        <v>14</v>
      </c>
      <c r="B175" s="53"/>
      <c r="C175" s="53">
        <v>0</v>
      </c>
      <c r="D175" s="53">
        <v>0</v>
      </c>
      <c r="E175" s="53">
        <v>0</v>
      </c>
      <c r="F175" s="49">
        <v>2480382</v>
      </c>
      <c r="G175" s="49">
        <v>14</v>
      </c>
      <c r="H175" s="53"/>
      <c r="I175" s="53">
        <v>0</v>
      </c>
      <c r="J175" s="53">
        <v>0</v>
      </c>
      <c r="K175" s="53">
        <v>0</v>
      </c>
      <c r="L175" s="49">
        <v>2480382</v>
      </c>
      <c r="R175" s="21"/>
      <c r="S175" s="21"/>
    </row>
    <row r="176" spans="1:19" s="48" customFormat="1" x14ac:dyDescent="0.2">
      <c r="A176" s="49">
        <v>15</v>
      </c>
      <c r="B176" s="53"/>
      <c r="C176" s="53">
        <v>0</v>
      </c>
      <c r="D176" s="53">
        <v>0</v>
      </c>
      <c r="E176" s="53">
        <v>0</v>
      </c>
      <c r="F176" s="49">
        <v>2480382</v>
      </c>
      <c r="G176" s="49">
        <v>15</v>
      </c>
      <c r="H176" s="53"/>
      <c r="I176" s="53">
        <v>0</v>
      </c>
      <c r="J176" s="53">
        <v>0</v>
      </c>
      <c r="K176" s="53">
        <v>0</v>
      </c>
      <c r="L176" s="49">
        <v>2480382</v>
      </c>
      <c r="R176" s="21"/>
      <c r="S176" s="21"/>
    </row>
    <row r="177" spans="1:19" s="48" customFormat="1" x14ac:dyDescent="0.2">
      <c r="A177" s="49">
        <v>16</v>
      </c>
      <c r="B177" s="53"/>
      <c r="C177" s="53">
        <v>0</v>
      </c>
      <c r="D177" s="53">
        <v>0</v>
      </c>
      <c r="E177" s="53">
        <v>0</v>
      </c>
      <c r="F177" s="49">
        <v>2480382</v>
      </c>
      <c r="G177" s="49">
        <v>16</v>
      </c>
      <c r="H177" s="53"/>
      <c r="I177" s="53">
        <v>0</v>
      </c>
      <c r="J177" s="53">
        <v>0</v>
      </c>
      <c r="K177" s="53">
        <v>0</v>
      </c>
      <c r="L177" s="49">
        <v>2480382</v>
      </c>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F058C480-3EF1-4D46-9EE3-07A9E7CDADE5}">
      <formula1>$C$112:$C$113</formula1>
    </dataValidation>
  </dataValidations>
  <hyperlinks>
    <hyperlink ref="O1:P1" location="Home_page" display="Back to home page" xr:uid="{1EAF287C-0AFE-461F-89BA-E26CA48B7CC7}"/>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5B00F05B-4485-4484-B0A8-DB24D6AC2EF3}">
          <x14:colorSeries rgb="FF323232"/>
          <x14:colorNegative rgb="FFD00000"/>
          <x14:colorAxis rgb="FF000000"/>
          <x14:colorMarkers rgb="FFD00000"/>
          <x14:colorFirst rgb="FFD00000"/>
          <x14:colorLast rgb="FFD00000"/>
          <x14:colorHigh rgb="FFD00000"/>
          <x14:colorLow rgb="FFD00000"/>
          <x14:sparklines>
            <x14:sparkline>
              <xm:f>Longliners!D3:N3</xm:f>
              <xm:sqref>C3</xm:sqref>
            </x14:sparkline>
            <x14:sparkline>
              <xm:f>Longliners!D4:N4</xm:f>
              <xm:sqref>C4</xm:sqref>
            </x14:sparkline>
            <x14:sparkline>
              <xm:f>Longliners!D5:N5</xm:f>
              <xm:sqref>C5</xm:sqref>
            </x14:sparkline>
            <x14:sparkline>
              <xm:f>Longliners!D6:N6</xm:f>
              <xm:sqref>C6</xm:sqref>
            </x14:sparkline>
            <x14:sparkline>
              <xm:f>Longliners!D7:N7</xm:f>
              <xm:sqref>C7</xm:sqref>
            </x14:sparkline>
            <x14:sparkline>
              <xm:f>Longliners!D8:N8</xm:f>
              <xm:sqref>C8</xm:sqref>
            </x14:sparkline>
            <x14:sparkline>
              <xm:f>Longliners!D9:N9</xm:f>
              <xm:sqref>C9</xm:sqref>
            </x14:sparkline>
            <x14:sparkline>
              <xm:f>Longliners!D10:N10</xm:f>
              <xm:sqref>C10</xm:sqref>
            </x14:sparkline>
            <x14:sparkline>
              <xm:f>Longliners!D11:N11</xm:f>
              <xm:sqref>C11</xm:sqref>
            </x14:sparkline>
            <x14:sparkline>
              <xm:f>Longliners!D12:N12</xm:f>
              <xm:sqref>C12</xm:sqref>
            </x14:sparkline>
            <x14:sparkline>
              <xm:f>Longliners!D13:N13</xm:f>
              <xm:sqref>C13</xm:sqref>
            </x14:sparkline>
            <x14:sparkline>
              <xm:f>Longliners!D14:N14</xm:f>
              <xm:sqref>C14</xm:sqref>
            </x14:sparkline>
            <x14:sparkline>
              <xm:f>Longliners!D15:N15</xm:f>
              <xm:sqref>C15</xm:sqref>
            </x14:sparkline>
            <x14:sparkline>
              <xm:f>Longliners!D16:N16</xm:f>
              <xm:sqref>C16</xm:sqref>
            </x14:sparkline>
            <x14:sparkline>
              <xm:f>Longliners!D17:N17</xm:f>
              <xm:sqref>C17</xm:sqref>
            </x14:sparkline>
            <x14:sparkline>
              <xm:f>Longliners!D18:N18</xm:f>
              <xm:sqref>C18</xm:sqref>
            </x14:sparkline>
            <x14:sparkline>
              <xm:f>Longliners!D19:N19</xm:f>
              <xm:sqref>C19</xm:sqref>
            </x14:sparkline>
            <x14:sparkline>
              <xm:f>Longliners!D20:N20</xm:f>
              <xm:sqref>C20</xm:sqref>
            </x14:sparkline>
            <x14:sparkline>
              <xm:f>Longliners!D21:N21</xm:f>
              <xm:sqref>C21</xm:sqref>
            </x14:sparkline>
            <x14:sparkline>
              <xm:f>Longliners!D22:N22</xm:f>
              <xm:sqref>C22</xm:sqref>
            </x14:sparkline>
            <x14:sparkline>
              <xm:f>Longliners!D23:N23</xm:f>
              <xm:sqref>C23</xm:sqref>
            </x14:sparkline>
            <x14:sparkline>
              <xm:f>Longliners!D24:N24</xm:f>
              <xm:sqref>C24</xm:sqref>
            </x14:sparkline>
            <x14:sparkline>
              <xm:f>Longliners!D25:N25</xm:f>
              <xm:sqref>C25</xm:sqref>
            </x14:sparkline>
            <x14:sparkline>
              <xm:f>Longliners!D26:N26</xm:f>
              <xm:sqref>C26</xm:sqref>
            </x14:sparkline>
            <x14:sparkline>
              <xm:f>Longliners!D27:N27</xm:f>
              <xm:sqref>C27</xm:sqref>
            </x14:sparkline>
            <x14:sparkline>
              <xm:f>Longliners!D28:N28</xm:f>
              <xm:sqref>C28</xm:sqref>
            </x14:sparkline>
            <x14:sparkline>
              <xm:f>Longliners!D29:N29</xm:f>
              <xm:sqref>C29</xm:sqref>
            </x14:sparkline>
            <x14:sparkline>
              <xm:f>Longliners!D30:N30</xm:f>
              <xm:sqref>C30</xm:sqref>
            </x14:sparkline>
            <x14:sparkline>
              <xm:f>Longliners!D31:N31</xm:f>
              <xm:sqref>C31</xm:sqref>
            </x14:sparkline>
            <x14:sparkline>
              <xm:f>Longliners!D32:N32</xm:f>
              <xm:sqref>C32</xm:sqref>
            </x14:sparkline>
            <x14:sparkline>
              <xm:f>Longliners!D33:N33</xm:f>
              <xm:sqref>C33</xm:sqref>
            </x14:sparkline>
            <x14:sparkline>
              <xm:f>Longliners!D34:N34</xm:f>
              <xm:sqref>C34</xm:sqref>
            </x14:sparkline>
            <x14:sparkline>
              <xm:f>Longliners!D35:N35</xm:f>
              <xm:sqref>C35</xm:sqref>
            </x14:sparkline>
            <x14:sparkline>
              <xm:f>Longliners!D36:N36</xm:f>
              <xm:sqref>C36</xm:sqref>
            </x14:sparkline>
            <x14:sparkline>
              <xm:f>Longliners!D37:N37</xm:f>
              <xm:sqref>C37</xm:sqref>
            </x14:sparkline>
            <x14:sparkline>
              <xm:f>Longliners!D38:N38</xm:f>
              <xm:sqref>C38</xm:sqref>
            </x14:sparkline>
            <x14:sparkline>
              <xm:f>Longliners!D39:N39</xm:f>
              <xm:sqref>C39</xm:sqref>
            </x14:sparkline>
            <x14:sparkline>
              <xm:f>Longliners!D40:N40</xm:f>
              <xm:sqref>C40</xm:sqref>
            </x14:sparkline>
            <x14:sparkline>
              <xm:f>Longliners!D41:N41</xm:f>
              <xm:sqref>C41</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86521-C41D-4A29-9D07-AFB1E0B19776}">
  <sheetPr codeName="Feuil14">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232</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65</v>
      </c>
      <c r="E3" s="28">
        <v>59</v>
      </c>
      <c r="F3" s="28">
        <v>51</v>
      </c>
      <c r="G3" s="28">
        <v>59</v>
      </c>
      <c r="H3" s="28">
        <v>48</v>
      </c>
      <c r="I3" s="28">
        <v>52</v>
      </c>
      <c r="J3" s="28">
        <v>42</v>
      </c>
      <c r="K3" s="28">
        <v>38</v>
      </c>
      <c r="L3" s="28">
        <v>48</v>
      </c>
      <c r="M3" s="28">
        <v>51</v>
      </c>
      <c r="N3" s="28">
        <v>40</v>
      </c>
      <c r="O3" s="29">
        <f t="shared" ref="O3:O41" si="0">IF(N3=0,"",IFERROR(IF(AND(N3&gt;0,D3&lt;0),"na",IF(AND(N3&lt;0,D3&lt;0),-1,1)*(N3-D3)/D3),""))</f>
        <v>-0.38461538461538464</v>
      </c>
      <c r="P3" s="29">
        <f t="shared" ref="P3:P41" si="1">IF(N3=0,"",IFERROR(IF(AND(N3&gt;0,J3&lt;0),"na",IF(AND(N3&lt;0,J3&lt;0),-1,1)*(N3-J3)/J3),""))</f>
        <v>-4.7619047619047616E-2</v>
      </c>
    </row>
    <row r="4" spans="1:17" ht="18" customHeight="1" x14ac:dyDescent="0.2">
      <c r="A4" s="193"/>
      <c r="B4" s="30" t="s">
        <v>55</v>
      </c>
      <c r="C4" s="31"/>
      <c r="D4" s="31">
        <v>8344</v>
      </c>
      <c r="E4" s="31">
        <v>7839</v>
      </c>
      <c r="F4" s="31">
        <v>7102</v>
      </c>
      <c r="G4" s="31">
        <v>9012</v>
      </c>
      <c r="H4" s="31">
        <v>5467</v>
      </c>
      <c r="I4" s="31">
        <v>7444</v>
      </c>
      <c r="J4" s="31">
        <v>5803</v>
      </c>
      <c r="K4" s="31">
        <v>5277</v>
      </c>
      <c r="L4" s="31">
        <v>7538</v>
      </c>
      <c r="M4" s="31">
        <v>6723</v>
      </c>
      <c r="N4" s="31">
        <v>4988.52001953125</v>
      </c>
      <c r="O4" s="29">
        <f t="shared" si="0"/>
        <v>-0.40214285480210332</v>
      </c>
      <c r="P4" s="29">
        <f t="shared" si="1"/>
        <v>-0.14035498543318112</v>
      </c>
    </row>
    <row r="5" spans="1:17" ht="18" customHeight="1" x14ac:dyDescent="0.2">
      <c r="A5" s="193"/>
      <c r="B5" s="30" t="s">
        <v>56</v>
      </c>
      <c r="C5" s="31"/>
      <c r="D5" s="31">
        <v>1188</v>
      </c>
      <c r="E5" s="31">
        <v>1200</v>
      </c>
      <c r="F5" s="31">
        <v>1307</v>
      </c>
      <c r="G5" s="31">
        <v>1579</v>
      </c>
      <c r="H5" s="31">
        <v>738</v>
      </c>
      <c r="I5" s="31">
        <v>1129</v>
      </c>
      <c r="J5" s="31">
        <v>795</v>
      </c>
      <c r="K5" s="31">
        <v>630</v>
      </c>
      <c r="L5" s="31">
        <v>1395</v>
      </c>
      <c r="M5" s="31">
        <v>939</v>
      </c>
      <c r="N5" s="31">
        <v>712.3699951171875</v>
      </c>
      <c r="O5" s="29">
        <f t="shared" si="0"/>
        <v>-0.40036195697206439</v>
      </c>
      <c r="P5" s="29">
        <f t="shared" si="1"/>
        <v>-0.10393711306014151</v>
      </c>
      <c r="Q5" s="32"/>
    </row>
    <row r="6" spans="1:17" ht="18" customHeight="1" x14ac:dyDescent="0.2">
      <c r="A6" s="193"/>
      <c r="B6" s="30" t="s">
        <v>57</v>
      </c>
      <c r="C6" s="31"/>
      <c r="D6" s="31">
        <v>7154.99609375</v>
      </c>
      <c r="E6" s="31">
        <v>6797.341796875</v>
      </c>
      <c r="F6" s="31">
        <v>6082.8984375</v>
      </c>
      <c r="G6" s="31">
        <v>7784.380859375</v>
      </c>
      <c r="H6" s="31">
        <v>4837.37353515625</v>
      </c>
      <c r="I6" s="31">
        <v>6361.83544921875</v>
      </c>
      <c r="J6" s="31">
        <v>4888.06103515625</v>
      </c>
      <c r="K6" s="31">
        <v>4334.62890625</v>
      </c>
      <c r="L6" s="31">
        <v>6050.22216796875</v>
      </c>
      <c r="M6" s="31">
        <v>5508.06689453125</v>
      </c>
      <c r="N6" s="31">
        <v>4368.11572265625</v>
      </c>
      <c r="O6" s="29">
        <f t="shared" si="0"/>
        <v>-0.38950131273001437</v>
      </c>
      <c r="P6" s="29">
        <f t="shared" si="1"/>
        <v>-0.10637046238997701</v>
      </c>
    </row>
    <row r="7" spans="1:17" ht="18" customHeight="1" x14ac:dyDescent="0.2">
      <c r="A7" s="193"/>
      <c r="B7" s="30" t="s">
        <v>58</v>
      </c>
      <c r="C7" s="31"/>
      <c r="D7" s="31">
        <v>179.19149780273438</v>
      </c>
      <c r="E7" s="31">
        <v>216.94219970703125</v>
      </c>
      <c r="F7" s="31">
        <v>159.73219299316406</v>
      </c>
      <c r="G7" s="31">
        <v>2177.45556640625</v>
      </c>
      <c r="H7" s="31">
        <v>109.01930236816406</v>
      </c>
      <c r="I7" s="31">
        <v>1458.86376953125</v>
      </c>
      <c r="J7" s="31">
        <v>107.86129760742188</v>
      </c>
      <c r="K7" s="31">
        <v>76.006599426269531</v>
      </c>
      <c r="L7" s="31">
        <v>83.107803344726563</v>
      </c>
      <c r="M7" s="31">
        <v>90.239799499511719</v>
      </c>
      <c r="N7" s="31">
        <v>61.682899475097656</v>
      </c>
      <c r="O7" s="29">
        <f t="shared" si="0"/>
        <v>-0.65577105927758805</v>
      </c>
      <c r="P7" s="29">
        <f t="shared" si="1"/>
        <v>-0.4281275967993427</v>
      </c>
    </row>
    <row r="8" spans="1:17" ht="18" customHeight="1" x14ac:dyDescent="0.2">
      <c r="A8" s="193"/>
      <c r="B8" s="30" t="s">
        <v>59</v>
      </c>
      <c r="C8" s="33"/>
      <c r="D8" s="33">
        <f ca="1">0.38214128125*OFFSET(D$112,MATCH($N$1,$C$112:$C$113,0)-1,0)</f>
        <v>0.38214128125000002</v>
      </c>
      <c r="E8" s="33">
        <f ca="1">0.31126790625*OFFSET(E$112,MATCH($N$1,$C$112:$C$113,0)-1,0)</f>
        <v>0.31126790625</v>
      </c>
      <c r="F8" s="33">
        <f ca="1">0.3238850625*OFFSET(F$112,MATCH($N$1,$C$112:$C$113,0)-1,0)</f>
        <v>0.32388506249999999</v>
      </c>
      <c r="G8" s="33">
        <f ca="1">0.32382015625*OFFSET(G$112,MATCH($N$1,$C$112:$C$113,0)-1,0)</f>
        <v>0.32382015624999999</v>
      </c>
      <c r="H8" s="33">
        <f ca="1">0.276960875*OFFSET(H$112,MATCH($N$1,$C$112:$C$113,0)-1,0)</f>
        <v>0.276960875</v>
      </c>
      <c r="I8" s="33">
        <f ca="1">0.2647226875*OFFSET(I$112,MATCH($N$1,$C$112:$C$113,0)-1,0)</f>
        <v>0.2647226875</v>
      </c>
      <c r="J8" s="33">
        <f ca="1">0.193208203125*OFFSET(J$112,MATCH($N$1,$C$112:$C$113,0)-1,0)</f>
        <v>0.19320820312500001</v>
      </c>
      <c r="K8" s="33">
        <f ca="1">0.185221140625*OFFSET(K$112,MATCH($N$1,$C$112:$C$113,0)-1,0)</f>
        <v>0.185221140625</v>
      </c>
      <c r="L8" s="33">
        <f ca="1">0.201945671875*OFFSET(L$112,MATCH($N$1,$C$112:$C$113,0)-1,0)</f>
        <v>0.20194567187500001</v>
      </c>
      <c r="M8" s="33">
        <f ca="1">0.21321034375*OFFSET(M$112,MATCH($N$1,$C$112:$C$113,0)-1,0)</f>
        <v>0.21321034375</v>
      </c>
      <c r="N8" s="33">
        <v>0.1498786875</v>
      </c>
      <c r="O8" s="29">
        <f t="shared" ca="1" si="0"/>
        <v>-0.60779247138717762</v>
      </c>
      <c r="P8" s="29">
        <f t="shared" ca="1" si="1"/>
        <v>-0.22426333315137292</v>
      </c>
    </row>
    <row r="9" spans="1:17" ht="18" customHeight="1" x14ac:dyDescent="0.2">
      <c r="A9" s="193"/>
      <c r="B9" s="30" t="s">
        <v>60</v>
      </c>
      <c r="C9" s="31"/>
      <c r="D9" s="31">
        <v>1232</v>
      </c>
      <c r="E9" s="31">
        <v>1095</v>
      </c>
      <c r="F9" s="31">
        <v>1051</v>
      </c>
      <c r="G9" s="31">
        <v>1943</v>
      </c>
      <c r="H9" s="31">
        <v>1064</v>
      </c>
      <c r="I9" s="31">
        <v>1196</v>
      </c>
      <c r="J9" s="31">
        <v>813</v>
      </c>
      <c r="K9" s="31">
        <v>817</v>
      </c>
      <c r="L9" s="31">
        <v>619</v>
      </c>
      <c r="M9" s="31">
        <v>1104</v>
      </c>
      <c r="N9" s="31">
        <v>1230</v>
      </c>
      <c r="O9" s="29">
        <f t="shared" si="0"/>
        <v>-1.6233766233766235E-3</v>
      </c>
      <c r="P9" s="29">
        <f t="shared" si="1"/>
        <v>0.51291512915129156</v>
      </c>
    </row>
    <row r="10" spans="1:17" ht="18" customHeight="1" x14ac:dyDescent="0.2">
      <c r="A10" s="193"/>
      <c r="B10" s="30" t="s">
        <v>61</v>
      </c>
      <c r="C10" s="31"/>
      <c r="D10" s="31">
        <v>18.047103881835938</v>
      </c>
      <c r="E10" s="31">
        <v>21.403017044067383</v>
      </c>
      <c r="F10" s="31">
        <v>14.681532859802246</v>
      </c>
      <c r="G10" s="31">
        <v>13.674860000610352</v>
      </c>
      <c r="H10" s="31">
        <v>10.644332885742188</v>
      </c>
      <c r="I10" s="31">
        <v>7.5956387519836426</v>
      </c>
      <c r="J10" s="31">
        <v>9.7561750411987305</v>
      </c>
      <c r="K10" s="31">
        <v>11.959431648254395</v>
      </c>
      <c r="L10" s="31">
        <v>5.6158370971679688</v>
      </c>
      <c r="M10" s="31">
        <v>6.2711453437805176</v>
      </c>
      <c r="N10" s="31">
        <v>6.0269651412963867</v>
      </c>
      <c r="O10" s="34">
        <f t="shared" si="0"/>
        <v>-0.66604253065986885</v>
      </c>
      <c r="P10" s="34">
        <f t="shared" si="1"/>
        <v>-0.38224097908806481</v>
      </c>
    </row>
    <row r="11" spans="1:17" ht="18" customHeight="1" x14ac:dyDescent="0.2">
      <c r="A11" s="194" t="s">
        <v>27</v>
      </c>
      <c r="B11" s="35" t="s">
        <v>62</v>
      </c>
      <c r="C11" s="36"/>
      <c r="D11" s="36">
        <v>12.117691993713379</v>
      </c>
      <c r="E11" s="36">
        <v>12.24864387512207</v>
      </c>
      <c r="F11" s="36">
        <v>12.565097808837891</v>
      </c>
      <c r="G11" s="36">
        <v>13.085762977600098</v>
      </c>
      <c r="H11" s="36">
        <v>11.747916221618652</v>
      </c>
      <c r="I11" s="36">
        <v>12.472884178161621</v>
      </c>
      <c r="J11" s="36">
        <v>12.226666450500488</v>
      </c>
      <c r="K11" s="36">
        <v>11.930000305175781</v>
      </c>
      <c r="L11" s="36">
        <v>12.737500190734863</v>
      </c>
      <c r="M11" s="36">
        <v>12.192940711975098</v>
      </c>
      <c r="N11" s="36">
        <v>12.093999862670898</v>
      </c>
      <c r="O11" s="29">
        <f t="shared" si="0"/>
        <v>-1.9551686125354457E-3</v>
      </c>
      <c r="P11" s="29">
        <f t="shared" si="1"/>
        <v>-1.0850593525773269E-2</v>
      </c>
    </row>
    <row r="12" spans="1:17" ht="18" customHeight="1" x14ac:dyDescent="0.2">
      <c r="A12" s="195"/>
      <c r="B12" s="37" t="s">
        <v>55</v>
      </c>
      <c r="C12" s="31"/>
      <c r="D12" s="31">
        <v>128.36923217773438</v>
      </c>
      <c r="E12" s="31">
        <v>132.86441040039063</v>
      </c>
      <c r="F12" s="31">
        <v>139.25489807128906</v>
      </c>
      <c r="G12" s="31">
        <v>152.74575805664063</v>
      </c>
      <c r="H12" s="31">
        <v>113.89583587646484</v>
      </c>
      <c r="I12" s="31">
        <v>143.15383911132813</v>
      </c>
      <c r="J12" s="31">
        <v>138.16667175292969</v>
      </c>
      <c r="K12" s="31">
        <v>138.86842346191406</v>
      </c>
      <c r="L12" s="31">
        <v>157.04167175292969</v>
      </c>
      <c r="M12" s="31">
        <v>131.82353210449219</v>
      </c>
      <c r="N12" s="31">
        <v>124.71299743652344</v>
      </c>
      <c r="O12" s="29">
        <f t="shared" si="0"/>
        <v>-2.8482173486468129E-2</v>
      </c>
      <c r="P12" s="29">
        <f t="shared" si="1"/>
        <v>-9.7372790020332653E-2</v>
      </c>
    </row>
    <row r="13" spans="1:17" ht="18" customHeight="1" x14ac:dyDescent="0.2">
      <c r="A13" s="195"/>
      <c r="B13" s="37" t="s">
        <v>56</v>
      </c>
      <c r="C13" s="31"/>
      <c r="D13" s="31">
        <v>18.276922225952148</v>
      </c>
      <c r="E13" s="31">
        <v>20.338983535766602</v>
      </c>
      <c r="F13" s="31">
        <v>25.627450942993164</v>
      </c>
      <c r="G13" s="31">
        <v>26.762712478637695</v>
      </c>
      <c r="H13" s="31">
        <v>15.375</v>
      </c>
      <c r="I13" s="31">
        <v>21.711538314819336</v>
      </c>
      <c r="J13" s="31">
        <v>18.928571701049805</v>
      </c>
      <c r="K13" s="31">
        <v>16.578947067260742</v>
      </c>
      <c r="L13" s="31">
        <v>29.0625</v>
      </c>
      <c r="M13" s="31">
        <v>18.411764144897461</v>
      </c>
      <c r="N13" s="31">
        <v>17.809249877929688</v>
      </c>
      <c r="O13" s="29">
        <f t="shared" si="0"/>
        <v>-2.558813471112734E-2</v>
      </c>
      <c r="P13" s="29">
        <f t="shared" si="1"/>
        <v>-5.9133982256993962E-2</v>
      </c>
    </row>
    <row r="14" spans="1:17" ht="18" customHeight="1" x14ac:dyDescent="0.2">
      <c r="A14" s="195"/>
      <c r="B14" s="37" t="s">
        <v>57</v>
      </c>
      <c r="C14" s="31"/>
      <c r="D14" s="31">
        <v>110.07686614990234</v>
      </c>
      <c r="E14" s="31">
        <v>115.20918273925781</v>
      </c>
      <c r="F14" s="31">
        <v>119.27252197265625</v>
      </c>
      <c r="G14" s="31">
        <v>131.93865966796875</v>
      </c>
      <c r="H14" s="31">
        <v>100.77861785888672</v>
      </c>
      <c r="I14" s="31">
        <v>122.34298706054688</v>
      </c>
      <c r="J14" s="31">
        <v>116.38240051269531</v>
      </c>
      <c r="K14" s="31">
        <v>114.06918334960938</v>
      </c>
      <c r="L14" s="31">
        <v>131.52656555175781</v>
      </c>
      <c r="M14" s="31">
        <v>112.40952301025391</v>
      </c>
      <c r="N14" s="31">
        <v>109.20289611816406</v>
      </c>
      <c r="O14" s="29">
        <f t="shared" si="0"/>
        <v>-7.9396340239929388E-3</v>
      </c>
      <c r="P14" s="29">
        <f t="shared" si="1"/>
        <v>-6.1688918280630327E-2</v>
      </c>
    </row>
    <row r="15" spans="1:17" ht="18" customHeight="1" x14ac:dyDescent="0.2">
      <c r="A15" s="195"/>
      <c r="B15" s="37" t="s">
        <v>58</v>
      </c>
      <c r="C15" s="33"/>
      <c r="D15" s="33">
        <v>2.7567923069000244</v>
      </c>
      <c r="E15" s="33">
        <v>3.6769864559173584</v>
      </c>
      <c r="F15" s="33">
        <v>3.1320040225982666</v>
      </c>
      <c r="G15" s="33">
        <v>36.906028747558594</v>
      </c>
      <c r="H15" s="33">
        <v>2.271235466003418</v>
      </c>
      <c r="I15" s="33">
        <v>28.055072784423828</v>
      </c>
      <c r="J15" s="33">
        <v>2.5681262016296387</v>
      </c>
      <c r="K15" s="33">
        <v>2.0001735687255859</v>
      </c>
      <c r="L15" s="33">
        <v>1.7314125299453735</v>
      </c>
      <c r="M15" s="33">
        <v>1.7694078683853149</v>
      </c>
      <c r="N15" s="33">
        <v>1.5420725345611572</v>
      </c>
      <c r="O15" s="29">
        <f t="shared" si="0"/>
        <v>-0.44062796072759036</v>
      </c>
      <c r="P15" s="29">
        <f t="shared" si="1"/>
        <v>-0.39953397399916929</v>
      </c>
    </row>
    <row r="16" spans="1:17" ht="18" customHeight="1" x14ac:dyDescent="0.2">
      <c r="A16" s="195"/>
      <c r="B16" s="37" t="s">
        <v>63</v>
      </c>
      <c r="C16" s="33"/>
      <c r="D16" s="33">
        <f ca="1">5.8790966796875*OFFSET(D$112,MATCH($N$1,$C$112:$C$113,0)-1,0)</f>
        <v>5.8790966796874997</v>
      </c>
      <c r="E16" s="33">
        <f ca="1">5.27572705078125*OFFSET(E$112,MATCH($N$1,$C$112:$C$113,0)-1,0)</f>
        <v>5.2757270507812501</v>
      </c>
      <c r="F16" s="33">
        <f ca="1">6.3506875*OFFSET(F$112,MATCH($N$1,$C$112:$C$113,0)-1,0)</f>
        <v>6.3506875000000003</v>
      </c>
      <c r="G16" s="33">
        <f ca="1">5.48847705078125*OFFSET(G$112,MATCH($N$1,$C$112:$C$113,0)-1,0)</f>
        <v>5.4884770507812499</v>
      </c>
      <c r="H16" s="33">
        <f ca="1">5.77001806640625*OFFSET(H$112,MATCH($N$1,$C$112:$C$113,0)-1,0)</f>
        <v>5.7700180664062497</v>
      </c>
      <c r="I16" s="33">
        <f ca="1">5.0908212890625*OFFSET(I$112,MATCH($N$1,$C$112:$C$113,0)-1,0)</f>
        <v>5.0908212890625002</v>
      </c>
      <c r="J16" s="33">
        <f ca="1">4.6001953125*OFFSET(J$112,MATCH($N$1,$C$112:$C$113,0)-1,0)</f>
        <v>4.6001953125000004</v>
      </c>
      <c r="K16" s="33">
        <f ca="1">4.874240234375*OFFSET(K$112,MATCH($N$1,$C$112:$C$113,0)-1,0)</f>
        <v>4.8742402343749998</v>
      </c>
      <c r="L16" s="33">
        <f ca="1">4.20720166015625*OFFSET(L$112,MATCH($N$1,$C$112:$C$113,0)-1,0)</f>
        <v>4.2072016601562501</v>
      </c>
      <c r="M16" s="33">
        <f ca="1">4.18059521484375*OFFSET(M$112,MATCH($N$1,$C$112:$C$113,0)-1,0)</f>
        <v>4.1805952148437502</v>
      </c>
      <c r="N16" s="33">
        <v>3.7469670410156253</v>
      </c>
      <c r="O16" s="29">
        <f t="shared" ca="1" si="0"/>
        <v>-0.36266279580644806</v>
      </c>
      <c r="P16" s="29">
        <f t="shared" ca="1" si="1"/>
        <v>-0.18547653165201886</v>
      </c>
    </row>
    <row r="17" spans="1:16" ht="18" customHeight="1" x14ac:dyDescent="0.2">
      <c r="A17" s="195"/>
      <c r="B17" s="37" t="s">
        <v>60</v>
      </c>
      <c r="C17" s="31"/>
      <c r="D17" s="31">
        <v>18.953845977783203</v>
      </c>
      <c r="E17" s="31">
        <v>18.559322357177734</v>
      </c>
      <c r="F17" s="31">
        <v>20.607843399047852</v>
      </c>
      <c r="G17" s="31">
        <v>32.932205200195313</v>
      </c>
      <c r="H17" s="31">
        <v>22.166666030883789</v>
      </c>
      <c r="I17" s="31">
        <v>23</v>
      </c>
      <c r="J17" s="31">
        <v>19.357143402099609</v>
      </c>
      <c r="K17" s="31">
        <v>21.5</v>
      </c>
      <c r="L17" s="31">
        <v>12.895833015441895</v>
      </c>
      <c r="M17" s="31">
        <v>21.647058486938477</v>
      </c>
      <c r="N17" s="31">
        <v>30.75</v>
      </c>
      <c r="O17" s="29">
        <f t="shared" si="0"/>
        <v>0.62236202805719154</v>
      </c>
      <c r="P17" s="29">
        <f t="shared" si="1"/>
        <v>0.58856084088650407</v>
      </c>
    </row>
    <row r="18" spans="1:16" ht="18" customHeight="1" x14ac:dyDescent="0.2">
      <c r="A18" s="195"/>
      <c r="B18" s="37" t="s">
        <v>64</v>
      </c>
      <c r="C18" s="31"/>
      <c r="D18" s="31">
        <v>30.799999237060547</v>
      </c>
      <c r="E18" s="31">
        <v>32.61016845703125</v>
      </c>
      <c r="F18" s="31">
        <v>33.803920745849609</v>
      </c>
      <c r="G18" s="31">
        <v>31.050848007202148</v>
      </c>
      <c r="H18" s="31">
        <v>36.3125</v>
      </c>
      <c r="I18" s="31">
        <v>34.269229888916016</v>
      </c>
      <c r="J18" s="31">
        <v>36.214286804199219</v>
      </c>
      <c r="K18" s="31">
        <v>35.684211730957031</v>
      </c>
      <c r="L18" s="31">
        <v>32.369564056396484</v>
      </c>
      <c r="M18" s="31">
        <v>37.551021575927734</v>
      </c>
      <c r="N18" s="31">
        <v>42.150001525878906</v>
      </c>
      <c r="O18" s="29">
        <f t="shared" si="0"/>
        <v>0.36850657694696642</v>
      </c>
      <c r="P18" s="29">
        <f t="shared" si="1"/>
        <v>0.16390533254934661</v>
      </c>
    </row>
    <row r="19" spans="1:16" ht="18" customHeight="1" x14ac:dyDescent="0.2">
      <c r="A19" s="195"/>
      <c r="B19" s="37" t="s">
        <v>65</v>
      </c>
      <c r="C19" s="38"/>
      <c r="D19" s="38">
        <v>0.14544764161109924</v>
      </c>
      <c r="E19" s="38">
        <v>0.19812072813510895</v>
      </c>
      <c r="F19" s="38">
        <v>0.1519811600446701</v>
      </c>
      <c r="G19" s="38">
        <v>1.1206667423248291</v>
      </c>
      <c r="H19" s="38">
        <v>0.10246175527572632</v>
      </c>
      <c r="I19" s="38">
        <v>1.2197858095169067</v>
      </c>
      <c r="J19" s="38">
        <v>0.13267071545124054</v>
      </c>
      <c r="K19" s="38">
        <v>9.3031331896781921E-2</v>
      </c>
      <c r="L19" s="38">
        <v>0.13426139950752258</v>
      </c>
      <c r="M19" s="38">
        <v>8.1738948822021484E-2</v>
      </c>
      <c r="N19" s="38">
        <v>5.0148699432611465E-2</v>
      </c>
      <c r="O19" s="29">
        <f t="shared" si="0"/>
        <v>-0.65521132637750124</v>
      </c>
      <c r="P19" s="29">
        <f t="shared" si="1"/>
        <v>-0.62200626368791812</v>
      </c>
    </row>
    <row r="20" spans="1:16" ht="18" customHeight="1" x14ac:dyDescent="0.2">
      <c r="A20" s="196"/>
      <c r="B20" s="39" t="s">
        <v>28</v>
      </c>
      <c r="C20" s="40"/>
      <c r="D20" s="40">
        <f ca="1">2133*OFFSET(D$112,MATCH($N$1,$C$112:$C$113,0)-1,0)</f>
        <v>2133</v>
      </c>
      <c r="E20" s="40">
        <f ca="1">1435*OFFSET(E$112,MATCH($N$1,$C$112:$C$113,0)-1,0)</f>
        <v>1435</v>
      </c>
      <c r="F20" s="40">
        <f ca="1">2028*OFFSET(F$112,MATCH($N$1,$C$112:$C$113,0)-1,0)</f>
        <v>2028</v>
      </c>
      <c r="G20" s="40">
        <f ca="1">149*OFFSET(G$112,MATCH($N$1,$C$112:$C$113,0)-1,0)</f>
        <v>149</v>
      </c>
      <c r="H20" s="40">
        <f ca="1">2540*OFFSET(H$112,MATCH($N$1,$C$112:$C$113,0)-1,0)</f>
        <v>2540</v>
      </c>
      <c r="I20" s="40">
        <f ca="1">181*OFFSET(I$112,MATCH($N$1,$C$112:$C$113,0)-1,0)</f>
        <v>181</v>
      </c>
      <c r="J20" s="40">
        <f ca="1">1791*OFFSET(J$112,MATCH($N$1,$C$112:$C$113,0)-1,0)</f>
        <v>1791</v>
      </c>
      <c r="K20" s="40">
        <f ca="1">2437*OFFSET(K$112,MATCH($N$1,$C$112:$C$113,0)-1,0)</f>
        <v>2437</v>
      </c>
      <c r="L20" s="40">
        <f ca="1">2430*OFFSET(L$112,MATCH($N$1,$C$112:$C$113,0)-1,0)</f>
        <v>2430</v>
      </c>
      <c r="M20" s="40">
        <f ca="1">2363*OFFSET(M$112,MATCH($N$1,$C$112:$C$113,0)-1,0)</f>
        <v>2363</v>
      </c>
      <c r="N20" s="40">
        <v>2430</v>
      </c>
      <c r="O20" s="34">
        <f t="shared" ca="1" si="0"/>
        <v>0.13924050632911392</v>
      </c>
      <c r="P20" s="34">
        <f t="shared" ca="1" si="1"/>
        <v>0.35678391959798994</v>
      </c>
    </row>
    <row r="21" spans="1:16" ht="18" customHeight="1" x14ac:dyDescent="0.2">
      <c r="A21" s="197" t="s">
        <v>29</v>
      </c>
      <c r="B21" s="35" t="s">
        <v>66</v>
      </c>
      <c r="C21" s="41"/>
      <c r="D21" s="41">
        <v>1.3045581916520703</v>
      </c>
      <c r="E21" s="41">
        <v>1.6683498513075961</v>
      </c>
      <c r="F21" s="41">
        <v>1.2378215506561512</v>
      </c>
      <c r="G21" s="41">
        <v>8.7052615844053438</v>
      </c>
      <c r="H21" s="41">
        <v>1.0227430777529332</v>
      </c>
      <c r="I21" s="41">
        <v>10.54595221632928</v>
      </c>
      <c r="J21" s="41">
        <v>1.224611159022164</v>
      </c>
      <c r="K21" s="41">
        <v>0.9181647865833158</v>
      </c>
      <c r="L21" s="41">
        <v>0.98618524970952381</v>
      </c>
      <c r="M21" s="41">
        <v>0.57403356389259674</v>
      </c>
      <c r="N21" s="41">
        <v>0.36694145378640497</v>
      </c>
      <c r="O21" s="29">
        <f t="shared" si="0"/>
        <v>-0.71872358309925866</v>
      </c>
      <c r="P21" s="29">
        <f t="shared" si="1"/>
        <v>-0.70036084427043521</v>
      </c>
    </row>
    <row r="22" spans="1:16" ht="18" customHeight="1" x14ac:dyDescent="0.2">
      <c r="A22" s="197"/>
      <c r="B22" s="37" t="s">
        <v>67</v>
      </c>
      <c r="C22" s="38"/>
      <c r="D22" s="38">
        <f ca="1">2.78208253621587*OFFSET(D$112,MATCH($N$1,$C$112:$C$113,0)-1,0)</f>
        <v>2.7820825362158699</v>
      </c>
      <c r="E22" s="38">
        <f ca="1">2.39374241548965*OFFSET(E$112,MATCH($N$1,$C$112:$C$113,0)-1,0)</f>
        <v>2.3937424154896498</v>
      </c>
      <c r="F22" s="38">
        <f ca="1">2.50990030417051*OFFSET(F$112,MATCH($N$1,$C$112:$C$113,0)-1,0)</f>
        <v>2.5099003041705101</v>
      </c>
      <c r="G22" s="38">
        <f ca="1">1.29460226549618*OFFSET(G$112,MATCH($N$1,$C$112:$C$113,0)-1,0)</f>
        <v>1.29460226549618</v>
      </c>
      <c r="H22" s="38">
        <f ca="1">2.5982537364611*OFFSET(H$112,MATCH($N$1,$C$112:$C$113,0)-1,0)</f>
        <v>2.5982537364610998</v>
      </c>
      <c r="I22" s="38">
        <f ca="1">1.91364886018518*OFFSET(I$112,MATCH($N$1,$C$112:$C$113,0)-1,0)</f>
        <v>1.91364886018518</v>
      </c>
      <c r="J22" s="38">
        <f ca="1">2.19360345679047*OFFSET(J$112,MATCH($N$1,$C$112:$C$113,0)-1,0)</f>
        <v>2.1936034567904699</v>
      </c>
      <c r="K22" s="38">
        <f ca="1">2.23748369367875*OFFSET(K$112,MATCH($N$1,$C$112:$C$113,0)-1,0)</f>
        <v>2.2374836936787501</v>
      </c>
      <c r="L22" s="38">
        <f ca="1">2.39635566223517*OFFSET(L$112,MATCH($N$1,$C$112:$C$113,0)-1,0)</f>
        <v>2.39635566223517</v>
      </c>
      <c r="M22" s="38">
        <f ca="1">1.35627404695507*OFFSET(M$112,MATCH($N$1,$C$112:$C$113,0)-1,0)</f>
        <v>1.35627404695507</v>
      </c>
      <c r="N22" s="38">
        <v>0.8916036713612121</v>
      </c>
      <c r="O22" s="29">
        <f t="shared" ca="1" si="0"/>
        <v>-0.67951933138045839</v>
      </c>
      <c r="P22" s="29">
        <f t="shared" ca="1" si="1"/>
        <v>-0.59354382461370414</v>
      </c>
    </row>
    <row r="23" spans="1:16" ht="18" customHeight="1" x14ac:dyDescent="0.2">
      <c r="A23" s="197"/>
      <c r="B23" s="37" t="s">
        <v>11</v>
      </c>
      <c r="C23" s="38"/>
      <c r="D23" s="38">
        <f ca="1">3.49392099129969*OFFSET(D$112,MATCH($N$1,$C$112:$C$113,0)-1,0)</f>
        <v>3.49392099129969</v>
      </c>
      <c r="E23" s="38">
        <f ca="1">3.57117260199314*OFFSET(E$112,MATCH($N$1,$C$112:$C$113,0)-1,0)</f>
        <v>3.57117260199314</v>
      </c>
      <c r="F23" s="38">
        <f ca="1">4.22266204986644*OFFSET(F$112,MATCH($N$1,$C$112:$C$113,0)-1,0)</f>
        <v>4.2226620498664396</v>
      </c>
      <c r="G23" s="38">
        <f ca="1">3.01887623145511*OFFSET(G$112,MATCH($N$1,$C$112:$C$113,0)-1,0)</f>
        <v>3.0188762314551099</v>
      </c>
      <c r="H23" s="38">
        <f ca="1">4.7072920728615*OFFSET(H$112,MATCH($N$1,$C$112:$C$113,0)-1,0)</f>
        <v>4.7072920728614998</v>
      </c>
      <c r="I23" s="38">
        <f ca="1">2.73707605279805*OFFSET(I$112,MATCH($N$1,$C$112:$C$113,0)-1,0)</f>
        <v>2.73707605279805</v>
      </c>
      <c r="J23" s="38">
        <f ca="1">4.29310300869576*OFFSET(J$112,MATCH($N$1,$C$112:$C$113,0)-1,0)</f>
        <v>4.29310300869576</v>
      </c>
      <c r="K23" s="38">
        <f ca="1">3.94410773042905*OFFSET(K$112,MATCH($N$1,$C$112:$C$113,0)-1,0)</f>
        <v>3.9441077304290499</v>
      </c>
      <c r="L23" s="38">
        <f ca="1">3.89162393104749*OFFSET(L$112,MATCH($N$1,$C$112:$C$113,0)-1,0)</f>
        <v>3.8916239310474898</v>
      </c>
      <c r="M23" s="38">
        <f ca="1">2.77520005252837*OFFSET(M$112,MATCH($N$1,$C$112:$C$113,0)-1,0)</f>
        <v>2.77520005252837</v>
      </c>
      <c r="N23" s="38">
        <v>3.848989899004569</v>
      </c>
      <c r="O23" s="29">
        <f t="shared" ca="1" si="0"/>
        <v>0.10162476729984621</v>
      </c>
      <c r="P23" s="29">
        <f t="shared" ca="1" si="1"/>
        <v>-0.10344804417495496</v>
      </c>
    </row>
    <row r="24" spans="1:16" ht="18" customHeight="1" x14ac:dyDescent="0.2">
      <c r="A24" s="197"/>
      <c r="B24" s="37" t="s">
        <v>12</v>
      </c>
      <c r="C24" s="38"/>
      <c r="D24" s="38">
        <f ca="1">-0.642909148422646*OFFSET(D$112,MATCH($N$1,$C$112:$C$113,0)-1,0)</f>
        <v>-0.64290914842264602</v>
      </c>
      <c r="E24" s="38">
        <f ca="1">-1.05933627953424*OFFSET(E$112,MATCH($N$1,$C$112:$C$113,0)-1,0)</f>
        <v>-1.05933627953424</v>
      </c>
      <c r="F24" s="38">
        <f ca="1">-1.64093754450534*OFFSET(F$112,MATCH($N$1,$C$112:$C$113,0)-1,0)</f>
        <v>-1.64093754450534</v>
      </c>
      <c r="G24" s="38">
        <f ca="1">-1.69165159902438*OFFSET(G$112,MATCH($N$1,$C$112:$C$113,0)-1,0)</f>
        <v>-1.6916515990243799</v>
      </c>
      <c r="H24" s="38">
        <f ca="1">-1.91516854408155*OFFSET(H$112,MATCH($N$1,$C$112:$C$113,0)-1,0)</f>
        <v>-1.91516854408155</v>
      </c>
      <c r="I24" s="38">
        <f ca="1">-0.728235391612856*OFFSET(I$112,MATCH($N$1,$C$112:$C$113,0)-1,0)</f>
        <v>-0.728235391612856</v>
      </c>
      <c r="J24" s="38">
        <f ca="1">-1.93582291911873*OFFSET(J$112,MATCH($N$1,$C$112:$C$113,0)-1,0)</f>
        <v>-1.9358229191187299</v>
      </c>
      <c r="K24" s="38">
        <f ca="1">-1.56203821170648*OFFSET(K$112,MATCH($N$1,$C$112:$C$113,0)-1,0)</f>
        <v>-1.5620382117064799</v>
      </c>
      <c r="L24" s="38">
        <f ca="1">-1.31646320184898*OFFSET(L$112,MATCH($N$1,$C$112:$C$113,0)-1,0)</f>
        <v>-1.3164632018489799</v>
      </c>
      <c r="M24" s="38">
        <f ca="1">0.327927183263727*OFFSET(M$112,MATCH($N$1,$C$112:$C$113,0)-1,0)</f>
        <v>0.327927183263727</v>
      </c>
      <c r="N24" s="38">
        <v>-2.8908588469064775</v>
      </c>
      <c r="O24" s="29">
        <f t="shared" ca="1" si="0"/>
        <v>-3.4965277815677278</v>
      </c>
      <c r="P24" s="29">
        <f t="shared" ca="1" si="1"/>
        <v>-0.49334880703991307</v>
      </c>
    </row>
    <row r="25" spans="1:16" ht="18" customHeight="1" x14ac:dyDescent="0.2">
      <c r="A25" s="197"/>
      <c r="B25" s="37" t="s">
        <v>68</v>
      </c>
      <c r="C25" s="33"/>
      <c r="D25" s="33">
        <f ca="1">21.25*OFFSET(D$112,MATCH($N$1,$C$112:$C$113,0)-1,0)</f>
        <v>21.25</v>
      </c>
      <c r="E25" s="33">
        <f ca="1">14.61*OFFSET(E$112,MATCH($N$1,$C$112:$C$113,0)-1,0)</f>
        <v>14.61</v>
      </c>
      <c r="F25" s="33">
        <f ca="1">22.23*OFFSET(F$112,MATCH($N$1,$C$112:$C$113,0)-1,0)</f>
        <v>22.23</v>
      </c>
      <c r="G25" s="33">
        <f ca="1">23.73*OFFSET(G$112,MATCH($N$1,$C$112:$C$113,0)-1,0)</f>
        <v>23.73</v>
      </c>
      <c r="H25" s="33">
        <f ca="1">26.15*OFFSET(H$112,MATCH($N$1,$C$112:$C$113,0)-1,0)</f>
        <v>26.15</v>
      </c>
      <c r="I25" s="33">
        <f ca="1">34.91*OFFSET(I$112,MATCH($N$1,$C$112:$C$113,0)-1,0)</f>
        <v>34.909999999999997</v>
      </c>
      <c r="J25" s="33">
        <f ca="1">19.8*OFFSET(J$112,MATCH($N$1,$C$112:$C$113,0)-1,0)</f>
        <v>19.8</v>
      </c>
      <c r="K25" s="33">
        <f ca="1">15.57*OFFSET(K$112,MATCH($N$1,$C$112:$C$113,0)-1,0)</f>
        <v>15.57</v>
      </c>
      <c r="L25" s="33">
        <f ca="1">35.9*OFFSET(L$112,MATCH($N$1,$C$112:$C$113,0)-1,0)</f>
        <v>35.9</v>
      </c>
      <c r="M25" s="33">
        <f ca="1">34.16*OFFSET(M$112,MATCH($N$1,$C$112:$C$113,0)-1,0)</f>
        <v>34.159999999999997</v>
      </c>
      <c r="N25" s="33">
        <v>24.56</v>
      </c>
      <c r="O25" s="29">
        <f t="shared" ca="1" si="0"/>
        <v>0.15576470588235289</v>
      </c>
      <c r="P25" s="29">
        <f t="shared" ca="1" si="1"/>
        <v>0.24040404040404029</v>
      </c>
    </row>
    <row r="26" spans="1:16" ht="18" customHeight="1" x14ac:dyDescent="0.2">
      <c r="A26" s="198"/>
      <c r="B26" s="37" t="s">
        <v>69</v>
      </c>
      <c r="C26" s="33"/>
      <c r="D26" s="33">
        <f ca="1">-5.04*OFFSET(D$112,MATCH($N$1,$C$112:$C$113,0)-1,0)</f>
        <v>-5.04</v>
      </c>
      <c r="E26" s="33">
        <f ca="1">-6.34*OFFSET(E$112,MATCH($N$1,$C$112:$C$113,0)-1,0)</f>
        <v>-6.34</v>
      </c>
      <c r="F26" s="33">
        <f ca="1">-14.59*OFFSET(F$112,MATCH($N$1,$C$112:$C$113,0)-1,0)</f>
        <v>-14.59</v>
      </c>
      <c r="G26" s="33">
        <f ca="1">-31.06*OFFSET(G$112,MATCH($N$1,$C$112:$C$113,0)-1,0)</f>
        <v>-31.06</v>
      </c>
      <c r="H26" s="33">
        <f ca="1">-19.39*OFFSET(H$112,MATCH($N$1,$C$112:$C$113,0)-1,0)</f>
        <v>-19.39</v>
      </c>
      <c r="I26" s="33">
        <f ca="1">-13.01*OFFSET(I$112,MATCH($N$1,$C$112:$C$113,0)-1,0)</f>
        <v>-13.01</v>
      </c>
      <c r="J26" s="33">
        <f ca="1">-17.65*OFFSET(J$112,MATCH($N$1,$C$112:$C$113,0)-1,0)</f>
        <v>-17.649999999999999</v>
      </c>
      <c r="K26" s="33">
        <f ca="1">-10.8*OFFSET(K$112,MATCH($N$1,$C$112:$C$113,0)-1,0)</f>
        <v>-10.8</v>
      </c>
      <c r="L26" s="33">
        <f ca="1">-19.66*OFFSET(L$112,MATCH($N$1,$C$112:$C$113,0)-1,0)</f>
        <v>-19.66</v>
      </c>
      <c r="M26" s="33">
        <f ca="1">8.13*OFFSET(M$112,MATCH($N$1,$C$112:$C$113,0)-1,0)</f>
        <v>8.1300000000000008</v>
      </c>
      <c r="N26" s="33">
        <v>-80.31</v>
      </c>
      <c r="O26" s="34">
        <f t="shared" ca="1" si="0"/>
        <v>-14.934523809523808</v>
      </c>
      <c r="P26" s="34">
        <f t="shared" ca="1" si="1"/>
        <v>-3.5501416430594905</v>
      </c>
    </row>
    <row r="27" spans="1:16" ht="18" customHeight="1" x14ac:dyDescent="0.2">
      <c r="A27" s="187" t="s">
        <v>30</v>
      </c>
      <c r="B27" s="35" t="s">
        <v>63</v>
      </c>
      <c r="C27" s="36"/>
      <c r="D27" s="36">
        <f ca="1">5.9*OFFSET(D$112,MATCH($N$1,$C$112:$C$113,0)-1,0)</f>
        <v>5.9</v>
      </c>
      <c r="E27" s="36">
        <f ca="1">5.3*OFFSET(E$112,MATCH($N$1,$C$112:$C$113,0)-1,0)</f>
        <v>5.3</v>
      </c>
      <c r="F27" s="36">
        <f ca="1">6.4*OFFSET(F$112,MATCH($N$1,$C$112:$C$113,0)-1,0)</f>
        <v>6.4</v>
      </c>
      <c r="G27" s="36">
        <f ca="1">5.5*OFFSET(G$112,MATCH($N$1,$C$112:$C$113,0)-1,0)</f>
        <v>5.5</v>
      </c>
      <c r="H27" s="36">
        <f ca="1">5.8*OFFSET(H$112,MATCH($N$1,$C$112:$C$113,0)-1,0)</f>
        <v>5.8</v>
      </c>
      <c r="I27" s="36">
        <f ca="1">5.1*OFFSET(I$112,MATCH($N$1,$C$112:$C$113,0)-1,0)</f>
        <v>5.0999999999999996</v>
      </c>
      <c r="J27" s="36">
        <f ca="1">4.6*OFFSET(J$112,MATCH($N$1,$C$112:$C$113,0)-1,0)</f>
        <v>4.5999999999999996</v>
      </c>
      <c r="K27" s="36">
        <f ca="1">4.9*OFFSET(K$112,MATCH($N$1,$C$112:$C$113,0)-1,0)</f>
        <v>4.9000000000000004</v>
      </c>
      <c r="L27" s="36">
        <f ca="1">4.2*OFFSET(L$112,MATCH($N$1,$C$112:$C$113,0)-1,0)</f>
        <v>4.2</v>
      </c>
      <c r="M27" s="36">
        <f ca="1">4.2*OFFSET(M$112,MATCH($N$1,$C$112:$C$113,0)-1,0)</f>
        <v>4.2</v>
      </c>
      <c r="N27" s="36">
        <v>3.7</v>
      </c>
      <c r="O27" s="29">
        <f t="shared" ca="1" si="0"/>
        <v>-0.3728813559322034</v>
      </c>
      <c r="P27" s="29">
        <f t="shared" ca="1" si="1"/>
        <v>-0.19565217391304338</v>
      </c>
    </row>
    <row r="28" spans="1:16" ht="18" customHeight="1" x14ac:dyDescent="0.2">
      <c r="A28" s="199"/>
      <c r="B28" s="37" t="s">
        <v>70</v>
      </c>
      <c r="C28" s="33"/>
      <c r="D28" s="33">
        <f ca="1">0.1*OFFSET(D$112,MATCH($N$1,$C$112:$C$113,0)-1,0)</f>
        <v>0.1</v>
      </c>
      <c r="E28" s="33">
        <f ca="1">0.3*OFFSET(E$112,MATCH($N$1,$C$112:$C$113,0)-1,0)</f>
        <v>0.3</v>
      </c>
      <c r="F28" s="33">
        <f ca="1">0.2*OFFSET(F$112,MATCH($N$1,$C$112:$C$113,0)-1,0)</f>
        <v>0.2</v>
      </c>
      <c r="G28" s="33">
        <f ca="1">0.1*OFFSET(G$112,MATCH($N$1,$C$112:$C$113,0)-1,0)</f>
        <v>0.1</v>
      </c>
      <c r="H28" s="33">
        <f ca="1">0.4*OFFSET(H$112,MATCH($N$1,$C$112:$C$113,0)-1,0)</f>
        <v>0.4</v>
      </c>
      <c r="I28" s="33">
        <f ca="1">0.3*OFFSET(I$112,MATCH($N$1,$C$112:$C$113,0)-1,0)</f>
        <v>0.3</v>
      </c>
      <c r="J28" s="33">
        <f ca="1">0.3*OFFSET(J$112,MATCH($N$1,$C$112:$C$113,0)-1,0)</f>
        <v>0.3</v>
      </c>
      <c r="K28" s="33">
        <f ca="1">0.3*OFFSET(K$112,MATCH($N$1,$C$112:$C$113,0)-1,0)</f>
        <v>0.3</v>
      </c>
      <c r="L28" s="33">
        <f ca="1">0.3*OFFSET(L$112,MATCH($N$1,$C$112:$C$113,0)-1,0)</f>
        <v>0.3</v>
      </c>
      <c r="M28" s="33">
        <f ca="1">5.4*OFFSET(M$112,MATCH($N$1,$C$112:$C$113,0)-1,0)</f>
        <v>5.4</v>
      </c>
      <c r="N28" s="33">
        <v>0.3</v>
      </c>
      <c r="O28" s="29">
        <f t="shared" ca="1" si="0"/>
        <v>1.9999999999999998</v>
      </c>
      <c r="P28" s="29">
        <f t="shared" ca="1" si="1"/>
        <v>0</v>
      </c>
    </row>
    <row r="29" spans="1:16" ht="18" customHeight="1" x14ac:dyDescent="0.2">
      <c r="A29" s="199"/>
      <c r="B29" s="42" t="s">
        <v>71</v>
      </c>
      <c r="C29" s="43"/>
      <c r="D29" s="43">
        <f ca="1">6*OFFSET(D$112,MATCH($N$1,$C$112:$C$113,0)-1,0)</f>
        <v>6</v>
      </c>
      <c r="E29" s="43">
        <f ca="1">5.5*OFFSET(E$112,MATCH($N$1,$C$112:$C$113,0)-1,0)</f>
        <v>5.5</v>
      </c>
      <c r="F29" s="43">
        <f ca="1">6.5*OFFSET(F$112,MATCH($N$1,$C$112:$C$113,0)-1,0)</f>
        <v>6.5</v>
      </c>
      <c r="G29" s="43">
        <f ca="1">5.6*OFFSET(G$112,MATCH($N$1,$C$112:$C$113,0)-1,0)</f>
        <v>5.6</v>
      </c>
      <c r="H29" s="43">
        <f ca="1">6.2*OFFSET(H$112,MATCH($N$1,$C$112:$C$113,0)-1,0)</f>
        <v>6.2</v>
      </c>
      <c r="I29" s="43">
        <f ca="1">5.3*OFFSET(I$112,MATCH($N$1,$C$112:$C$113,0)-1,0)</f>
        <v>5.3</v>
      </c>
      <c r="J29" s="43">
        <f ca="1">4.9*OFFSET(J$112,MATCH($N$1,$C$112:$C$113,0)-1,0)</f>
        <v>4.9000000000000004</v>
      </c>
      <c r="K29" s="43">
        <f ca="1">5.2*OFFSET(K$112,MATCH($N$1,$C$112:$C$113,0)-1,0)</f>
        <v>5.2</v>
      </c>
      <c r="L29" s="43">
        <f ca="1">4.5*OFFSET(L$112,MATCH($N$1,$C$112:$C$113,0)-1,0)</f>
        <v>4.5</v>
      </c>
      <c r="M29" s="43">
        <f ca="1">9.6*OFFSET(M$112,MATCH($N$1,$C$112:$C$113,0)-1,0)</f>
        <v>9.6</v>
      </c>
      <c r="N29" s="43">
        <v>4</v>
      </c>
      <c r="O29" s="29">
        <f t="shared" ca="1" si="0"/>
        <v>-0.33333333333333331</v>
      </c>
      <c r="P29" s="29">
        <f t="shared" ca="1" si="1"/>
        <v>-0.18367346938775517</v>
      </c>
    </row>
    <row r="30" spans="1:16" ht="18" customHeight="1" x14ac:dyDescent="0.2">
      <c r="A30" s="199"/>
      <c r="B30" s="37" t="s">
        <v>72</v>
      </c>
      <c r="C30" s="33"/>
      <c r="D30" s="33">
        <f ca="1">4.4*OFFSET(D$112,MATCH($N$1,$C$112:$C$113,0)-1,0)</f>
        <v>4.4000000000000004</v>
      </c>
      <c r="E30" s="33">
        <f ca="1">5.1*OFFSET(E$112,MATCH($N$1,$C$112:$C$113,0)-1,0)</f>
        <v>5.0999999999999996</v>
      </c>
      <c r="F30" s="33">
        <f ca="1">5.6*OFFSET(F$112,MATCH($N$1,$C$112:$C$113,0)-1,0)</f>
        <v>5.6</v>
      </c>
      <c r="G30" s="33">
        <f ca="1">7.6*OFFSET(G$112,MATCH($N$1,$C$112:$C$113,0)-1,0)</f>
        <v>7.6</v>
      </c>
      <c r="H30" s="33">
        <f ca="1">3.3*OFFSET(H$112,MATCH($N$1,$C$112:$C$113,0)-1,0)</f>
        <v>3.3</v>
      </c>
      <c r="I30" s="33">
        <f ca="1">3.4*OFFSET(I$112,MATCH($N$1,$C$112:$C$113,0)-1,0)</f>
        <v>3.4</v>
      </c>
      <c r="J30" s="33">
        <f ca="1">3.3*OFFSET(J$112,MATCH($N$1,$C$112:$C$113,0)-1,0)</f>
        <v>3.3</v>
      </c>
      <c r="K30" s="33">
        <f ca="1">3.7*OFFSET(K$112,MATCH($N$1,$C$112:$C$113,0)-1,0)</f>
        <v>3.7</v>
      </c>
      <c r="L30" s="33">
        <f ca="1">2.8*OFFSET(L$112,MATCH($N$1,$C$112:$C$113,0)-1,0)</f>
        <v>2.8</v>
      </c>
      <c r="M30" s="33">
        <f ca="1">3.3*OFFSET(M$112,MATCH($N$1,$C$112:$C$113,0)-1,0)</f>
        <v>3.3</v>
      </c>
      <c r="N30" s="33">
        <v>4.8</v>
      </c>
      <c r="O30" s="29">
        <f t="shared" ca="1" si="0"/>
        <v>9.0909090909090787E-2</v>
      </c>
      <c r="P30" s="29">
        <f t="shared" ca="1" si="1"/>
        <v>0.45454545454545459</v>
      </c>
    </row>
    <row r="31" spans="1:16" ht="18" customHeight="1" x14ac:dyDescent="0.2">
      <c r="A31" s="199"/>
      <c r="B31" s="37" t="s">
        <v>73</v>
      </c>
      <c r="C31" s="33"/>
      <c r="D31" s="33">
        <f ca="1">0.7*OFFSET(D$112,MATCH($N$1,$C$112:$C$113,0)-1,0)</f>
        <v>0.7</v>
      </c>
      <c r="E31" s="33">
        <f ca="1">1.1*OFFSET(E$112,MATCH($N$1,$C$112:$C$113,0)-1,0)</f>
        <v>1.1000000000000001</v>
      </c>
      <c r="F31" s="33">
        <f ca="1">1*OFFSET(F$112,MATCH($N$1,$C$112:$C$113,0)-1,0)</f>
        <v>1</v>
      </c>
      <c r="G31" s="33">
        <f ca="1">1.9*OFFSET(G$112,MATCH($N$1,$C$112:$C$113,0)-1,0)</f>
        <v>1.9</v>
      </c>
      <c r="H31" s="33">
        <f ca="1">2*OFFSET(H$112,MATCH($N$1,$C$112:$C$113,0)-1,0)</f>
        <v>2</v>
      </c>
      <c r="I31" s="33">
        <f ca="1">0.3*OFFSET(I$112,MATCH($N$1,$C$112:$C$113,0)-1,0)</f>
        <v>0.3</v>
      </c>
      <c r="J31" s="33">
        <f ca="1">1.6*OFFSET(J$112,MATCH($N$1,$C$112:$C$113,0)-1,0)</f>
        <v>1.6</v>
      </c>
      <c r="K31" s="33">
        <f ca="1">1.5*OFFSET(K$112,MATCH($N$1,$C$112:$C$113,0)-1,0)</f>
        <v>1.5</v>
      </c>
      <c r="L31" s="33">
        <f ca="1">0.3*OFFSET(L$112,MATCH($N$1,$C$112:$C$113,0)-1,0)</f>
        <v>0.3</v>
      </c>
      <c r="M31" s="33">
        <f ca="1">1.5*OFFSET(M$112,MATCH($N$1,$C$112:$C$113,0)-1,0)</f>
        <v>1.5</v>
      </c>
      <c r="N31" s="33">
        <v>1.3</v>
      </c>
      <c r="O31" s="29">
        <f t="shared" ca="1" si="0"/>
        <v>0.85714285714285732</v>
      </c>
      <c r="P31" s="29">
        <f t="shared" ca="1" si="1"/>
        <v>-0.18750000000000003</v>
      </c>
    </row>
    <row r="32" spans="1:16" ht="18" customHeight="1" x14ac:dyDescent="0.2">
      <c r="A32" s="199"/>
      <c r="B32" s="37" t="s">
        <v>74</v>
      </c>
      <c r="C32" s="33"/>
      <c r="D32" s="33">
        <f ca="1">1.1*OFFSET(D$112,MATCH($N$1,$C$112:$C$113,0)-1,0)</f>
        <v>1.1000000000000001</v>
      </c>
      <c r="E32" s="33">
        <f ca="1">0.7*OFFSET(E$112,MATCH($N$1,$C$112:$C$113,0)-1,0)</f>
        <v>0.7</v>
      </c>
      <c r="F32" s="33">
        <f ca="1">2.9*OFFSET(F$112,MATCH($N$1,$C$112:$C$113,0)-1,0)</f>
        <v>2.9</v>
      </c>
      <c r="G32" s="33">
        <f ca="1">1.3*OFFSET(G$112,MATCH($N$1,$C$112:$C$113,0)-1,0)</f>
        <v>1.3</v>
      </c>
      <c r="H32" s="33">
        <f ca="1">1.8*OFFSET(H$112,MATCH($N$1,$C$112:$C$113,0)-1,0)</f>
        <v>1.8</v>
      </c>
      <c r="I32" s="33">
        <f ca="1">1.4*OFFSET(I$112,MATCH($N$1,$C$112:$C$113,0)-1,0)</f>
        <v>1.4</v>
      </c>
      <c r="J32" s="33">
        <f ca="1">1.5*OFFSET(J$112,MATCH($N$1,$C$112:$C$113,0)-1,0)</f>
        <v>1.5</v>
      </c>
      <c r="K32" s="33">
        <f ca="1">1.3*OFFSET(K$112,MATCH($N$1,$C$112:$C$113,0)-1,0)</f>
        <v>1.3</v>
      </c>
      <c r="L32" s="33">
        <f ca="1">1.3*OFFSET(L$112,MATCH($N$1,$C$112:$C$113,0)-1,0)</f>
        <v>1.3</v>
      </c>
      <c r="M32" s="33">
        <f ca="1">1.3*OFFSET(M$112,MATCH($N$1,$C$112:$C$113,0)-1,0)</f>
        <v>1.3</v>
      </c>
      <c r="N32" s="33">
        <v>1.2</v>
      </c>
      <c r="O32" s="29">
        <f t="shared" ca="1" si="0"/>
        <v>9.0909090909090787E-2</v>
      </c>
      <c r="P32" s="29">
        <f t="shared" ca="1" si="1"/>
        <v>-0.20000000000000004</v>
      </c>
    </row>
    <row r="33" spans="1:16" ht="18" customHeight="1" x14ac:dyDescent="0.2">
      <c r="A33" s="199"/>
      <c r="B33" s="37" t="s">
        <v>75</v>
      </c>
      <c r="C33" s="33"/>
      <c r="D33" s="33">
        <f ca="1">6.2*OFFSET(D$112,MATCH($N$1,$C$112:$C$113,0)-1,0)</f>
        <v>6.2</v>
      </c>
      <c r="E33" s="33">
        <f ca="1">6.8*OFFSET(E$112,MATCH($N$1,$C$112:$C$113,0)-1,0)</f>
        <v>6.8</v>
      </c>
      <c r="F33" s="33">
        <f ca="1">9.5*OFFSET(F$112,MATCH($N$1,$C$112:$C$113,0)-1,0)</f>
        <v>9.5</v>
      </c>
      <c r="G33" s="33">
        <f ca="1">10.8*OFFSET(G$112,MATCH($N$1,$C$112:$C$113,0)-1,0)</f>
        <v>10.8</v>
      </c>
      <c r="H33" s="33">
        <f ca="1">7.1*OFFSET(H$112,MATCH($N$1,$C$112:$C$113,0)-1,0)</f>
        <v>7.1</v>
      </c>
      <c r="I33" s="33">
        <f ca="1">5.1*OFFSET(I$112,MATCH($N$1,$C$112:$C$113,0)-1,0)</f>
        <v>5.0999999999999996</v>
      </c>
      <c r="J33" s="33">
        <f ca="1">6.3*OFFSET(J$112,MATCH($N$1,$C$112:$C$113,0)-1,0)</f>
        <v>6.3</v>
      </c>
      <c r="K33" s="33">
        <f ca="1">6.4*OFFSET(K$112,MATCH($N$1,$C$112:$C$113,0)-1,0)</f>
        <v>6.4</v>
      </c>
      <c r="L33" s="33">
        <f ca="1">4.4*OFFSET(L$112,MATCH($N$1,$C$112:$C$113,0)-1,0)</f>
        <v>4.4000000000000004</v>
      </c>
      <c r="M33" s="33">
        <f ca="1">6.1*OFFSET(M$112,MATCH($N$1,$C$112:$C$113,0)-1,0)</f>
        <v>6.1</v>
      </c>
      <c r="N33" s="33">
        <v>7.3</v>
      </c>
      <c r="O33" s="29">
        <f t="shared" ca="1" si="0"/>
        <v>0.1774193548387096</v>
      </c>
      <c r="P33" s="29">
        <f t="shared" ca="1" si="1"/>
        <v>0.15873015873015872</v>
      </c>
    </row>
    <row r="34" spans="1:16" ht="18" customHeight="1" x14ac:dyDescent="0.2">
      <c r="A34" s="199"/>
      <c r="B34" s="37" t="s">
        <v>76</v>
      </c>
      <c r="C34" s="33"/>
      <c r="D34" s="33">
        <f ca="1">1.2*OFFSET(D$112,MATCH($N$1,$C$112:$C$113,0)-1,0)</f>
        <v>1.2</v>
      </c>
      <c r="E34" s="33">
        <f ca="1">1*OFFSET(E$112,MATCH($N$1,$C$112:$C$113,0)-1,0)</f>
        <v>1</v>
      </c>
      <c r="F34" s="33">
        <f ca="1">1.2*OFFSET(F$112,MATCH($N$1,$C$112:$C$113,0)-1,0)</f>
        <v>1.2</v>
      </c>
      <c r="G34" s="33">
        <f ca="1">2*OFFSET(G$112,MATCH($N$1,$C$112:$C$113,0)-1,0)</f>
        <v>2</v>
      </c>
      <c r="H34" s="33">
        <f ca="1">3.3*OFFSET(H$112,MATCH($N$1,$C$112:$C$113,0)-1,0)</f>
        <v>3.3</v>
      </c>
      <c r="I34" s="33">
        <f ca="1">2.2*OFFSET(I$112,MATCH($N$1,$C$112:$C$113,0)-1,0)</f>
        <v>2.2000000000000002</v>
      </c>
      <c r="J34" s="33">
        <f ca="1">2.7*OFFSET(J$112,MATCH($N$1,$C$112:$C$113,0)-1,0)</f>
        <v>2.7</v>
      </c>
      <c r="K34" s="33">
        <f ca="1">2.2*OFFSET(K$112,MATCH($N$1,$C$112:$C$113,0)-1,0)</f>
        <v>2.2000000000000002</v>
      </c>
      <c r="L34" s="33">
        <f ca="1">2.4*OFFSET(L$112,MATCH($N$1,$C$112:$C$113,0)-1,0)</f>
        <v>2.4</v>
      </c>
      <c r="M34" s="33">
        <f ca="1">2.4*OFFSET(M$112,MATCH($N$1,$C$112:$C$113,0)-1,0)</f>
        <v>2.4</v>
      </c>
      <c r="N34" s="33">
        <v>8.8000000000000007</v>
      </c>
      <c r="O34" s="29">
        <f t="shared" ca="1" si="0"/>
        <v>6.3333333333333339</v>
      </c>
      <c r="P34" s="29">
        <f t="shared" ca="1" si="1"/>
        <v>2.2592592592592595</v>
      </c>
    </row>
    <row r="35" spans="1:16" ht="18" customHeight="1" x14ac:dyDescent="0.2">
      <c r="A35" s="199"/>
      <c r="B35" s="37" t="s">
        <v>77</v>
      </c>
      <c r="C35" s="33"/>
      <c r="D35" s="33">
        <f ca="1">7.4*OFFSET(D$112,MATCH($N$1,$C$112:$C$113,0)-1,0)</f>
        <v>7.4</v>
      </c>
      <c r="E35" s="33">
        <f ca="1">7.9*OFFSET(E$112,MATCH($N$1,$C$112:$C$113,0)-1,0)</f>
        <v>7.9</v>
      </c>
      <c r="F35" s="33">
        <f ca="1">10.7*OFFSET(F$112,MATCH($N$1,$C$112:$C$113,0)-1,0)</f>
        <v>10.7</v>
      </c>
      <c r="G35" s="33">
        <f ca="1">12.8*OFFSET(G$112,MATCH($N$1,$C$112:$C$113,0)-1,0)</f>
        <v>12.8</v>
      </c>
      <c r="H35" s="33">
        <f ca="1">10.5*OFFSET(H$112,MATCH($N$1,$C$112:$C$113,0)-1,0)</f>
        <v>10.5</v>
      </c>
      <c r="I35" s="33">
        <f ca="1">7.3*OFFSET(I$112,MATCH($N$1,$C$112:$C$113,0)-1,0)</f>
        <v>7.3</v>
      </c>
      <c r="J35" s="33">
        <f ca="1">9*OFFSET(J$112,MATCH($N$1,$C$112:$C$113,0)-1,0)</f>
        <v>9</v>
      </c>
      <c r="K35" s="33">
        <f ca="1">8.6*OFFSET(K$112,MATCH($N$1,$C$112:$C$113,0)-1,0)</f>
        <v>8.6</v>
      </c>
      <c r="L35" s="33">
        <f ca="1">6.8*OFFSET(L$112,MATCH($N$1,$C$112:$C$113,0)-1,0)</f>
        <v>6.8</v>
      </c>
      <c r="M35" s="33">
        <f ca="1">8.6*OFFSET(M$112,MATCH($N$1,$C$112:$C$113,0)-1,0)</f>
        <v>8.6</v>
      </c>
      <c r="N35" s="33">
        <v>16.2</v>
      </c>
      <c r="O35" s="29">
        <f t="shared" ca="1" si="0"/>
        <v>1.189189189189189</v>
      </c>
      <c r="P35" s="29">
        <f t="shared" ca="1" si="1"/>
        <v>0.79999999999999993</v>
      </c>
    </row>
    <row r="36" spans="1:16" ht="18" customHeight="1" x14ac:dyDescent="0.2">
      <c r="A36" s="199"/>
      <c r="B36" s="42" t="s">
        <v>78</v>
      </c>
      <c r="C36" s="43"/>
      <c r="D36" s="43">
        <f ca="1">-0.7*OFFSET(D$112,MATCH($N$1,$C$112:$C$113,0)-1,0)</f>
        <v>-0.7</v>
      </c>
      <c r="E36" s="43">
        <f ca="1">-1.2*OFFSET(E$112,MATCH($N$1,$C$112:$C$113,0)-1,0)</f>
        <v>-1.2</v>
      </c>
      <c r="F36" s="43">
        <f ca="1">-3.2*OFFSET(F$112,MATCH($N$1,$C$112:$C$113,0)-1,0)</f>
        <v>-3.2</v>
      </c>
      <c r="G36" s="43">
        <f ca="1">-5.3*OFFSET(G$112,MATCH($N$1,$C$112:$C$113,0)-1,0)</f>
        <v>-5.3</v>
      </c>
      <c r="H36" s="43">
        <f ca="1">-2.3*OFFSET(H$112,MATCH($N$1,$C$112:$C$113,0)-1,0)</f>
        <v>-2.2999999999999998</v>
      </c>
      <c r="I36" s="43">
        <f ca="1">-1.6*OFFSET(I$112,MATCH($N$1,$C$112:$C$113,0)-1,0)</f>
        <v>-1.6</v>
      </c>
      <c r="J36" s="43">
        <f ca="1">-2.5*OFFSET(J$112,MATCH($N$1,$C$112:$C$113,0)-1,0)</f>
        <v>-2.5</v>
      </c>
      <c r="K36" s="43">
        <f ca="1">-1.9*OFFSET(K$112,MATCH($N$1,$C$112:$C$113,0)-1,0)</f>
        <v>-1.9</v>
      </c>
      <c r="L36" s="43">
        <f ca="1">-2*OFFSET(L$112,MATCH($N$1,$C$112:$C$113,0)-1,0)</f>
        <v>-2</v>
      </c>
      <c r="M36" s="43">
        <f ca="1">2.5*OFFSET(M$112,MATCH($N$1,$C$112:$C$113,0)-1,0)</f>
        <v>2.5</v>
      </c>
      <c r="N36" s="43">
        <v>-10.799999999999999</v>
      </c>
      <c r="O36" s="29">
        <f t="shared" ca="1" si="0"/>
        <v>-14.428571428571429</v>
      </c>
      <c r="P36" s="29">
        <f t="shared" ca="1" si="1"/>
        <v>-3.3199999999999994</v>
      </c>
    </row>
    <row r="37" spans="1:16" ht="18" customHeight="1" x14ac:dyDescent="0.2">
      <c r="A37" s="199"/>
      <c r="B37" s="42" t="s">
        <v>79</v>
      </c>
      <c r="C37" s="43"/>
      <c r="D37" s="43">
        <f ca="1">-1.4*OFFSET(D$112,MATCH($N$1,$C$112:$C$113,0)-1,0)</f>
        <v>-1.4</v>
      </c>
      <c r="E37" s="43">
        <f ca="1">-2.3*OFFSET(E$112,MATCH($N$1,$C$112:$C$113,0)-1,0)</f>
        <v>-2.2999999999999998</v>
      </c>
      <c r="F37" s="43">
        <f ca="1">-4.2*OFFSET(F$112,MATCH($N$1,$C$112:$C$113,0)-1,0)</f>
        <v>-4.2</v>
      </c>
      <c r="G37" s="43">
        <f ca="1">-7.2*OFFSET(G$112,MATCH($N$1,$C$112:$C$113,0)-1,0)</f>
        <v>-7.2</v>
      </c>
      <c r="H37" s="43">
        <f ca="1">-4.3*OFFSET(H$112,MATCH($N$1,$C$112:$C$113,0)-1,0)</f>
        <v>-4.3</v>
      </c>
      <c r="I37" s="43">
        <f ca="1">-1.9*OFFSET(I$112,MATCH($N$1,$C$112:$C$113,0)-1,0)</f>
        <v>-1.9</v>
      </c>
      <c r="J37" s="43">
        <f ca="1">-4.1*OFFSET(J$112,MATCH($N$1,$C$112:$C$113,0)-1,0)</f>
        <v>-4.0999999999999996</v>
      </c>
      <c r="K37" s="43">
        <f ca="1">-3.4*OFFSET(K$112,MATCH($N$1,$C$112:$C$113,0)-1,0)</f>
        <v>-3.4</v>
      </c>
      <c r="L37" s="43">
        <f ca="1">-2.3*OFFSET(L$112,MATCH($N$1,$C$112:$C$113,0)-1,0)</f>
        <v>-2.2999999999999998</v>
      </c>
      <c r="M37" s="43">
        <f ca="1">1*OFFSET(M$112,MATCH($N$1,$C$112:$C$113,0)-1,0)</f>
        <v>1</v>
      </c>
      <c r="N37" s="43">
        <v>-12.1</v>
      </c>
      <c r="O37" s="29">
        <f t="shared" ca="1" si="0"/>
        <v>-7.6428571428571432</v>
      </c>
      <c r="P37" s="29">
        <f t="shared" ca="1" si="1"/>
        <v>-1.9512195121951221</v>
      </c>
    </row>
    <row r="38" spans="1:16" ht="18" customHeight="1" x14ac:dyDescent="0.2">
      <c r="A38" s="199"/>
      <c r="B38" s="37" t="s">
        <v>80</v>
      </c>
      <c r="C38" s="33"/>
      <c r="D38" s="33">
        <f ca="1">0.3*OFFSET(D$112,MATCH($N$1,$C$112:$C$113,0)-1,0)</f>
        <v>0.3</v>
      </c>
      <c r="E38" s="33">
        <f ca="1">0.4*OFFSET(E$112,MATCH($N$1,$C$112:$C$113,0)-1,0)</f>
        <v>0.4</v>
      </c>
      <c r="F38" s="33">
        <f ca="1">0.5*OFFSET(F$112,MATCH($N$1,$C$112:$C$113,0)-1,0)</f>
        <v>0.5</v>
      </c>
      <c r="G38" s="33">
        <f ca="1">0.3*OFFSET(G$112,MATCH($N$1,$C$112:$C$113,0)-1,0)</f>
        <v>0.3</v>
      </c>
      <c r="H38" s="33">
        <f ca="1">0.1*OFFSET(H$112,MATCH($N$1,$C$112:$C$113,0)-1,0)</f>
        <v>0.1</v>
      </c>
      <c r="I38" s="33"/>
      <c r="J38" s="33"/>
      <c r="K38" s="33"/>
      <c r="L38" s="33"/>
      <c r="M38" s="33"/>
      <c r="N38" s="33"/>
      <c r="O38" s="29" t="str">
        <f t="shared" si="0"/>
        <v/>
      </c>
      <c r="P38" s="29" t="str">
        <f t="shared" si="1"/>
        <v/>
      </c>
    </row>
    <row r="39" spans="1:16" ht="18" customHeight="1" x14ac:dyDescent="0.2">
      <c r="A39" s="199"/>
      <c r="B39" s="37" t="s">
        <v>81</v>
      </c>
      <c r="C39" s="33"/>
      <c r="D39" s="33">
        <f ca="1">0.2*OFFSET(D$112,MATCH($N$1,$C$112:$C$113,0)-1,0)</f>
        <v>0.2</v>
      </c>
      <c r="E39" s="33">
        <f ca="1">0.2*OFFSET(E$112,MATCH($N$1,$C$112:$C$113,0)-1,0)</f>
        <v>0.2</v>
      </c>
      <c r="F39" s="33"/>
      <c r="G39" s="33">
        <f ca="1">0.3*OFFSET(G$112,MATCH($N$1,$C$112:$C$113,0)-1,0)</f>
        <v>0.3</v>
      </c>
      <c r="H39" s="33"/>
      <c r="I39" s="33"/>
      <c r="J39" s="33"/>
      <c r="K39" s="33"/>
      <c r="L39" s="33"/>
      <c r="M39" s="33"/>
      <c r="N39" s="33"/>
      <c r="O39" s="29" t="str">
        <f t="shared" si="0"/>
        <v/>
      </c>
      <c r="P39" s="29" t="str">
        <f t="shared" si="1"/>
        <v/>
      </c>
    </row>
    <row r="40" spans="1:16" ht="18" customHeight="1" x14ac:dyDescent="0.2">
      <c r="A40" s="199"/>
      <c r="B40" s="37" t="s">
        <v>82</v>
      </c>
      <c r="C40" s="33"/>
      <c r="D40" s="33"/>
      <c r="E40" s="33"/>
      <c r="F40" s="33"/>
      <c r="G40" s="33">
        <f ca="1">0.2*OFFSET(G$112,MATCH($N$1,$C$112:$C$113,0)-1,0)</f>
        <v>0.2</v>
      </c>
      <c r="H40" s="33"/>
      <c r="I40" s="33"/>
      <c r="J40" s="33"/>
      <c r="K40" s="33">
        <f ca="1">0.6*OFFSET(K$112,MATCH($N$1,$C$112:$C$113,0)-1,0)</f>
        <v>0.6</v>
      </c>
      <c r="L40" s="33"/>
      <c r="M40" s="33"/>
      <c r="N40" s="33"/>
      <c r="O40" s="29" t="str">
        <f t="shared" si="0"/>
        <v/>
      </c>
      <c r="P40" s="29" t="str">
        <f t="shared" si="1"/>
        <v/>
      </c>
    </row>
    <row r="41" spans="1:16" ht="18" customHeight="1" thickBot="1" x14ac:dyDescent="0.25">
      <c r="A41" s="200"/>
      <c r="B41" s="44" t="s">
        <v>83</v>
      </c>
      <c r="C41" s="45"/>
      <c r="D41" s="45">
        <f ca="1">-1.8*OFFSET(D$112,MATCH($N$1,$C$112:$C$113,0)-1,0)</f>
        <v>-1.8</v>
      </c>
      <c r="E41" s="45">
        <f ca="1">-2.9*OFFSET(E$112,MATCH($N$1,$C$112:$C$113,0)-1,0)</f>
        <v>-2.9</v>
      </c>
      <c r="F41" s="45">
        <f ca="1">-4.7*OFFSET(F$112,MATCH($N$1,$C$112:$C$113,0)-1,0)</f>
        <v>-4.7</v>
      </c>
      <c r="G41" s="45">
        <f ca="1">-7.9*OFFSET(G$112,MATCH($N$1,$C$112:$C$113,0)-1,0)</f>
        <v>-7.9</v>
      </c>
      <c r="H41" s="45">
        <f ca="1">-4.3*OFFSET(H$112,MATCH($N$1,$C$112:$C$113,0)-1,0)</f>
        <v>-4.3</v>
      </c>
      <c r="I41" s="45"/>
      <c r="J41" s="45"/>
      <c r="K41" s="45">
        <f ca="1">-4.1*OFFSET(K$112,MATCH($N$1,$C$112:$C$113,0)-1,0)</f>
        <v>-4.0999999999999996</v>
      </c>
      <c r="L41" s="45"/>
      <c r="M41" s="45"/>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21</v>
      </c>
      <c r="F46" s="94" t="s">
        <v>21</v>
      </c>
      <c r="G46" s="94" t="s">
        <v>21</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Low activity over 10m</v>
      </c>
      <c r="C48" s="96"/>
      <c r="D48" s="96"/>
      <c r="E48" s="96"/>
      <c r="F48" s="96"/>
      <c r="G48" s="96"/>
      <c r="K48" s="96" t="str">
        <f>$B24&amp;CHAR(10)&amp;$A$1</f>
        <v>Operating profit per kW day at sea (£)
Low activity over 10m</v>
      </c>
    </row>
    <row r="49" spans="1:11" s="82" customFormat="1" x14ac:dyDescent="0.2">
      <c r="A49" s="96" t="str">
        <f>$B22&amp;CHAR(10)&amp;$A$1</f>
        <v>Fishing income per kW day at sea (£)
Low activity over 10m</v>
      </c>
    </row>
    <row r="50" spans="1:11" s="82" customFormat="1" x14ac:dyDescent="0.2">
      <c r="A50" s="96" t="str">
        <f>$B20&amp;CHAR(10)&amp;$A$1</f>
        <v>Average price per tonne landed (£)
Low activity over 10m</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Low activity over 10m</v>
      </c>
      <c r="F62" s="96" t="str">
        <f>$B20&amp;CHAR(10)&amp;$A$1</f>
        <v>Average price per tonne landed (£)
Low activity over 10m</v>
      </c>
      <c r="K62" s="96" t="str">
        <f>"Average annual operating profit per vessel (£'000)"&amp;CHAR(10)&amp;$A$1</f>
        <v>Average annual operating profit per vessel (£'000)
Low activity over 10m</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Low activity over 10m</v>
      </c>
      <c r="F76" s="96" t="str">
        <f>"Top 5 landed species by value in "&amp;A77&amp;CHAR(10)&amp;A1</f>
        <v>Top 5 landed species by value in 2020
Low activity over 10m</v>
      </c>
    </row>
    <row r="77" spans="1:11" s="96" customFormat="1" x14ac:dyDescent="0.2">
      <c r="A77" s="96">
        <v>2020</v>
      </c>
      <c r="B77" s="96" t="s">
        <v>233</v>
      </c>
      <c r="C77" s="97">
        <v>0.26522665329490558</v>
      </c>
      <c r="D77" s="98">
        <v>553960</v>
      </c>
      <c r="G77" s="96" t="s">
        <v>234</v>
      </c>
      <c r="H77" s="97">
        <v>0.25077591457880366</v>
      </c>
      <c r="I77" s="98">
        <v>12153634</v>
      </c>
      <c r="K77" s="96" t="s">
        <v>87</v>
      </c>
    </row>
    <row r="78" spans="1:11" s="96" customFormat="1" x14ac:dyDescent="0.2">
      <c r="B78" s="96" t="s">
        <v>235</v>
      </c>
      <c r="C78" s="97">
        <v>0.22556345748627971</v>
      </c>
      <c r="D78" s="98">
        <v>12153634</v>
      </c>
      <c r="G78" s="96" t="s">
        <v>236</v>
      </c>
      <c r="H78" s="97">
        <v>0.230639210447279</v>
      </c>
      <c r="I78" s="98">
        <v>553960</v>
      </c>
    </row>
    <row r="79" spans="1:11" s="96" customFormat="1" x14ac:dyDescent="0.2">
      <c r="B79" s="96" t="s">
        <v>237</v>
      </c>
      <c r="C79" s="97">
        <v>8.9023909209326985E-2</v>
      </c>
      <c r="D79" s="98">
        <v>11115023</v>
      </c>
      <c r="G79" s="96" t="s">
        <v>238</v>
      </c>
      <c r="H79" s="97">
        <v>0.12353651255944914</v>
      </c>
      <c r="I79" s="98">
        <v>3050596</v>
      </c>
    </row>
    <row r="80" spans="1:11" s="96" customFormat="1" x14ac:dyDescent="0.2">
      <c r="B80" s="96" t="s">
        <v>239</v>
      </c>
      <c r="C80" s="97">
        <v>7.2174362615680832E-2</v>
      </c>
      <c r="D80" s="98">
        <v>3689192</v>
      </c>
      <c r="G80" s="96" t="s">
        <v>240</v>
      </c>
      <c r="H80" s="97">
        <v>8.772691884700308E-2</v>
      </c>
      <c r="I80" s="98">
        <v>1692097</v>
      </c>
    </row>
    <row r="81" spans="1:19" s="96" customFormat="1" x14ac:dyDescent="0.2">
      <c r="B81" s="96" t="s">
        <v>241</v>
      </c>
      <c r="C81" s="97">
        <v>6.8074172184758572E-2</v>
      </c>
      <c r="D81" s="98">
        <v>2480382</v>
      </c>
      <c r="G81" s="96" t="s">
        <v>242</v>
      </c>
      <c r="H81" s="97">
        <v>6.5219326923394272E-2</v>
      </c>
      <c r="I81" s="98">
        <v>3689192</v>
      </c>
    </row>
    <row r="82" spans="1:19" s="96" customFormat="1" x14ac:dyDescent="0.2">
      <c r="B82" s="96" t="s">
        <v>243</v>
      </c>
      <c r="C82" s="97">
        <v>0.27993744520904829</v>
      </c>
      <c r="D82" s="98">
        <v>5920853</v>
      </c>
      <c r="G82" s="96" t="s">
        <v>244</v>
      </c>
      <c r="H82" s="97">
        <v>0.24210211664407089</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102</v>
      </c>
      <c r="D92" s="102">
        <v>0.20343692988615078</v>
      </c>
      <c r="E92" s="102">
        <v>0.18243408290724794</v>
      </c>
      <c r="F92" s="102">
        <v>0.18791105648816606</v>
      </c>
      <c r="G92" s="102">
        <v>0.1479101253587721</v>
      </c>
      <c r="H92" s="102">
        <v>0.16784455977060977</v>
      </c>
      <c r="I92" s="102">
        <v>0.24230947489617319</v>
      </c>
      <c r="J92" s="102">
        <v>0.14578068724894411</v>
      </c>
      <c r="K92" s="102">
        <v>0.14047492590846739</v>
      </c>
      <c r="L92" s="102">
        <v>0.25077591457880366</v>
      </c>
      <c r="M92" s="102">
        <v>0.31121945915425769</v>
      </c>
      <c r="O92" s="96">
        <v>12153634</v>
      </c>
    </row>
    <row r="93" spans="1:19" s="96" customFormat="1" hidden="1" x14ac:dyDescent="0.2">
      <c r="B93" s="96">
        <v>2</v>
      </c>
      <c r="C93" s="96" t="s">
        <v>100</v>
      </c>
      <c r="D93" s="102"/>
      <c r="E93" s="102">
        <v>0.11018051864684249</v>
      </c>
      <c r="F93" s="102">
        <v>0.11077788842554562</v>
      </c>
      <c r="G93" s="102">
        <v>0.25377021699513247</v>
      </c>
      <c r="H93" s="102">
        <v>4.3077963913320937E-2</v>
      </c>
      <c r="I93" s="102"/>
      <c r="J93" s="102"/>
      <c r="K93" s="102">
        <v>9.0398081938629207E-2</v>
      </c>
      <c r="L93" s="102">
        <v>0.230639210447279</v>
      </c>
      <c r="M93" s="102">
        <v>0.16459358381090708</v>
      </c>
      <c r="O93" s="96">
        <v>553960</v>
      </c>
    </row>
    <row r="94" spans="1:19" s="96" customFormat="1" hidden="1" x14ac:dyDescent="0.2">
      <c r="B94" s="96">
        <v>3</v>
      </c>
      <c r="C94" s="96" t="s">
        <v>245</v>
      </c>
      <c r="D94" s="102">
        <v>8.1012022386694138E-2</v>
      </c>
      <c r="E94" s="102">
        <v>0.13093354749730893</v>
      </c>
      <c r="F94" s="102">
        <v>0.11935368911297346</v>
      </c>
      <c r="G94" s="102">
        <v>0.17189958457712481</v>
      </c>
      <c r="H94" s="102">
        <v>0.18137363667063561</v>
      </c>
      <c r="I94" s="102">
        <v>0.17494064662689227</v>
      </c>
      <c r="J94" s="102">
        <v>0.14687566986411357</v>
      </c>
      <c r="K94" s="102">
        <v>0.13849508761313536</v>
      </c>
      <c r="L94" s="102">
        <v>0.12353651255944914</v>
      </c>
      <c r="M94" s="102">
        <v>0.10621173207164628</v>
      </c>
      <c r="O94" s="96">
        <v>3050596</v>
      </c>
    </row>
    <row r="95" spans="1:19" s="96" customFormat="1" hidden="1" x14ac:dyDescent="0.2">
      <c r="B95" s="96">
        <v>4</v>
      </c>
      <c r="C95" s="96" t="s">
        <v>144</v>
      </c>
      <c r="D95" s="102">
        <v>8.5569578253825454E-2</v>
      </c>
      <c r="E95" s="102">
        <v>7.6980014632669541E-2</v>
      </c>
      <c r="F95" s="102">
        <v>6.9236043148250881E-2</v>
      </c>
      <c r="G95" s="102">
        <v>5.2181443588873562E-2</v>
      </c>
      <c r="H95" s="102">
        <v>8.9920164437015018E-2</v>
      </c>
      <c r="I95" s="102"/>
      <c r="J95" s="102"/>
      <c r="K95" s="102"/>
      <c r="L95" s="102">
        <v>8.772691884700308E-2</v>
      </c>
      <c r="M95" s="102">
        <v>7.7262955164989683E-2</v>
      </c>
      <c r="O95" s="96">
        <v>1692097</v>
      </c>
    </row>
    <row r="96" spans="1:19" s="96" customFormat="1" hidden="1" x14ac:dyDescent="0.2">
      <c r="B96" s="96">
        <v>5</v>
      </c>
      <c r="C96" s="96" t="s">
        <v>246</v>
      </c>
      <c r="D96" s="102"/>
      <c r="E96" s="102">
        <v>6.5130747948062437E-2</v>
      </c>
      <c r="F96" s="102"/>
      <c r="G96" s="102"/>
      <c r="H96" s="102">
        <v>0.17925240405484213</v>
      </c>
      <c r="I96" s="102">
        <v>7.4399846809975176E-2</v>
      </c>
      <c r="J96" s="102">
        <v>6.0882421323311765E-2</v>
      </c>
      <c r="K96" s="102">
        <v>0.29065590375359041</v>
      </c>
      <c r="L96" s="102">
        <v>6.5219326923394272E-2</v>
      </c>
      <c r="M96" s="102">
        <v>7.2787186949945765E-2</v>
      </c>
      <c r="O96" s="96">
        <v>3689192</v>
      </c>
    </row>
    <row r="97" spans="1:15" s="96" customFormat="1" hidden="1" x14ac:dyDescent="0.2">
      <c r="B97" s="96">
        <v>6</v>
      </c>
      <c r="C97" s="96" t="s">
        <v>104</v>
      </c>
      <c r="D97" s="102"/>
      <c r="E97" s="102"/>
      <c r="F97" s="102"/>
      <c r="G97" s="102"/>
      <c r="H97" s="102"/>
      <c r="I97" s="102"/>
      <c r="J97" s="102">
        <v>0.17880253310801256</v>
      </c>
      <c r="K97" s="102">
        <v>9.4960389369965079E-2</v>
      </c>
      <c r="L97" s="102"/>
      <c r="M97" s="102"/>
      <c r="O97" s="96">
        <v>11115023</v>
      </c>
    </row>
    <row r="98" spans="1:15" s="96" customFormat="1" hidden="1" x14ac:dyDescent="0.2">
      <c r="B98" s="96">
        <v>7</v>
      </c>
      <c r="C98" s="96" t="s">
        <v>247</v>
      </c>
      <c r="D98" s="102">
        <v>7.5683303106190786E-2</v>
      </c>
      <c r="E98" s="102"/>
      <c r="F98" s="102">
        <v>9.0349804918228582E-2</v>
      </c>
      <c r="G98" s="102"/>
      <c r="H98" s="102"/>
      <c r="I98" s="102">
        <v>7.9534628751470257E-2</v>
      </c>
      <c r="J98" s="102">
        <v>7.0896790603074772E-2</v>
      </c>
      <c r="K98" s="102"/>
      <c r="L98" s="102"/>
      <c r="M98" s="102"/>
      <c r="O98" s="96">
        <v>2480382</v>
      </c>
    </row>
    <row r="99" spans="1:15" s="96" customFormat="1" hidden="1" x14ac:dyDescent="0.2">
      <c r="B99" s="96">
        <v>8</v>
      </c>
      <c r="C99" s="96" t="s">
        <v>248</v>
      </c>
      <c r="D99" s="102"/>
      <c r="E99" s="102"/>
      <c r="F99" s="102"/>
      <c r="G99" s="102">
        <v>4.8595179059425599E-2</v>
      </c>
      <c r="H99" s="102"/>
      <c r="I99" s="102">
        <v>9.2857725762357651E-2</v>
      </c>
      <c r="J99" s="102"/>
      <c r="K99" s="102"/>
      <c r="L99" s="102"/>
      <c r="M99" s="102"/>
      <c r="O99" s="96">
        <v>7434864</v>
      </c>
    </row>
    <row r="100" spans="1:15" s="96" customFormat="1" hidden="1" x14ac:dyDescent="0.2">
      <c r="B100" s="96">
        <v>9</v>
      </c>
      <c r="C100" s="96" t="s">
        <v>249</v>
      </c>
      <c r="D100" s="102">
        <v>7.1705441267373743E-2</v>
      </c>
      <c r="E100" s="102"/>
      <c r="F100" s="102"/>
      <c r="G100" s="102"/>
      <c r="H100" s="102"/>
      <c r="I100" s="102"/>
      <c r="J100" s="102"/>
      <c r="K100" s="102"/>
      <c r="L100" s="102"/>
      <c r="M100" s="102"/>
      <c r="O100" s="96">
        <v>8497745</v>
      </c>
    </row>
    <row r="101" spans="1:15" s="96" customFormat="1" hidden="1" x14ac:dyDescent="0.2">
      <c r="B101" s="96">
        <v>10</v>
      </c>
      <c r="C101" s="96" t="s">
        <v>107</v>
      </c>
      <c r="D101" s="102">
        <v>0.48259272509976509</v>
      </c>
      <c r="E101" s="102">
        <v>0.43434108836786867</v>
      </c>
      <c r="F101" s="102">
        <v>0.42237151790683541</v>
      </c>
      <c r="G101" s="102">
        <v>0.32564345042067144</v>
      </c>
      <c r="H101" s="102">
        <v>0.33853127115357651</v>
      </c>
      <c r="I101" s="102">
        <v>0.33595767715313146</v>
      </c>
      <c r="J101" s="102">
        <v>0.39676189785254323</v>
      </c>
      <c r="K101" s="102">
        <v>0.24501561141621256</v>
      </c>
      <c r="L101" s="102">
        <v>0.24210211664407089</v>
      </c>
      <c r="M101" s="102">
        <v>0.2679250828482535</v>
      </c>
      <c r="O101" s="96">
        <v>5920853</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11</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12</v>
      </c>
      <c r="D120" s="56">
        <v>24</v>
      </c>
      <c r="E120" s="56">
        <v>12</v>
      </c>
      <c r="F120" s="57">
        <v>51</v>
      </c>
    </row>
    <row r="121" spans="1:15" ht="18" customHeight="1" x14ac:dyDescent="0.2">
      <c r="A121" s="194" t="s">
        <v>27</v>
      </c>
      <c r="B121" s="35" t="s">
        <v>62</v>
      </c>
      <c r="C121" s="58">
        <v>11.862500190734863</v>
      </c>
      <c r="D121" s="58">
        <v>12.391666889190674</v>
      </c>
      <c r="E121" s="58">
        <v>14.304166793823242</v>
      </c>
      <c r="F121" s="59">
        <v>12.192940711975098</v>
      </c>
    </row>
    <row r="122" spans="1:15" ht="18" customHeight="1" x14ac:dyDescent="0.2">
      <c r="A122" s="195"/>
      <c r="B122" s="37" t="s">
        <v>55</v>
      </c>
      <c r="C122" s="60">
        <v>125.5</v>
      </c>
      <c r="D122" s="60">
        <v>134.16666793823242</v>
      </c>
      <c r="E122" s="60">
        <v>234.33332824707031</v>
      </c>
      <c r="F122" s="61">
        <v>131.82353210449219</v>
      </c>
    </row>
    <row r="123" spans="1:15" ht="18" customHeight="1" x14ac:dyDescent="0.2">
      <c r="A123" s="195"/>
      <c r="B123" s="37" t="s">
        <v>56</v>
      </c>
      <c r="C123" s="60">
        <v>14.5</v>
      </c>
      <c r="D123" s="60">
        <v>19.541666030883789</v>
      </c>
      <c r="E123" s="60">
        <v>62.666667938232422</v>
      </c>
      <c r="F123" s="61">
        <v>18.411764144897461</v>
      </c>
    </row>
    <row r="124" spans="1:15" ht="18" customHeight="1" x14ac:dyDescent="0.2">
      <c r="A124" s="195"/>
      <c r="B124" s="37" t="s">
        <v>57</v>
      </c>
      <c r="C124" s="60">
        <v>99.838851928710938</v>
      </c>
      <c r="D124" s="60">
        <v>117.61665344238281</v>
      </c>
      <c r="E124" s="60">
        <v>185.86833190917969</v>
      </c>
      <c r="F124" s="61">
        <v>112.40952301025391</v>
      </c>
    </row>
    <row r="125" spans="1:15" ht="18" customHeight="1" x14ac:dyDescent="0.2">
      <c r="A125" s="195"/>
      <c r="B125" s="37" t="s">
        <v>58</v>
      </c>
      <c r="C125" s="33">
        <v>1.6136499643325806</v>
      </c>
      <c r="D125" s="33">
        <v>2.1417749524116516</v>
      </c>
      <c r="E125" s="33">
        <v>1.0284500122070313</v>
      </c>
      <c r="F125" s="62">
        <v>1.7694078683853149</v>
      </c>
    </row>
    <row r="126" spans="1:15" ht="18" customHeight="1" x14ac:dyDescent="0.2">
      <c r="A126" s="195"/>
      <c r="B126" s="37" t="s">
        <v>63</v>
      </c>
      <c r="C126" s="33">
        <f ca="1">4.38251513671875*OFFSET($L$112,MATCH($N$1,$C$112:$C$113,0)-1,0)</f>
        <v>4.3825151367187498</v>
      </c>
      <c r="D126" s="33">
        <f ca="1">4.97451623535156*OFFSET($L$112,MATCH($N$1,$C$112:$C$113,0)-1,0)</f>
        <v>4.97451623535156</v>
      </c>
      <c r="E126" s="33">
        <f ca="1">2.4972587890625*OFFSET($L$112,MATCH($N$1,$C$112:$C$113,0)-1,0)</f>
        <v>2.4972587890625002</v>
      </c>
      <c r="F126" s="62">
        <f ca="1">4.18059521484375*OFFSET($L$112,MATCH($N$1,$C$112:$C$113,0)-1,0)</f>
        <v>4.1805952148437502</v>
      </c>
    </row>
    <row r="127" spans="1:15" ht="18" customHeight="1" x14ac:dyDescent="0.2">
      <c r="A127" s="195"/>
      <c r="B127" s="37" t="s">
        <v>60</v>
      </c>
      <c r="C127" s="60">
        <v>9.25</v>
      </c>
      <c r="D127" s="60">
        <v>12.708333015441895</v>
      </c>
      <c r="E127" s="60">
        <v>16.916666030883789</v>
      </c>
      <c r="F127" s="61">
        <v>21.647058486938477</v>
      </c>
    </row>
    <row r="128" spans="1:15" ht="18" customHeight="1" x14ac:dyDescent="0.2">
      <c r="A128" s="195"/>
      <c r="B128" s="37" t="s">
        <v>64</v>
      </c>
      <c r="C128" s="60">
        <v>28.090909957885742</v>
      </c>
      <c r="D128" s="60">
        <v>34.507576942443848</v>
      </c>
      <c r="E128" s="60">
        <v>32.833332061767578</v>
      </c>
      <c r="F128" s="61">
        <v>37.551021575927734</v>
      </c>
    </row>
    <row r="129" spans="1:15" ht="18" customHeight="1" x14ac:dyDescent="0.2">
      <c r="A129" s="195"/>
      <c r="B129" s="37" t="s">
        <v>65</v>
      </c>
      <c r="C129" s="63">
        <v>0.1744486391544342</v>
      </c>
      <c r="D129" s="63">
        <v>0.16853311522519759</v>
      </c>
      <c r="E129" s="63">
        <v>6.0795076191425323E-2</v>
      </c>
      <c r="F129" s="64">
        <v>8.1738948822021484E-2</v>
      </c>
    </row>
    <row r="130" spans="1:15" ht="18" customHeight="1" x14ac:dyDescent="0.2">
      <c r="A130" s="196"/>
      <c r="B130" s="39" t="s">
        <v>28</v>
      </c>
      <c r="C130" s="40">
        <f ca="1">2715.90198220678*OFFSET($L$112,MATCH($N$1,$C$112:$C$113,0)-1,0)</f>
        <v>2715.9019822067798</v>
      </c>
      <c r="D130" s="40">
        <f ca="1">2322.61388142121*OFFSET($L$112,MATCH($N$1,$C$112:$C$113,0)-1,0)</f>
        <v>2322.61388142121</v>
      </c>
      <c r="E130" s="40">
        <f ca="1">2428.17712034777*OFFSET($L$112,MATCH($N$1,$C$112:$C$113,0)-1,0)</f>
        <v>2428.1771203477701</v>
      </c>
      <c r="F130" s="65">
        <f ca="1">2363*OFFSET($L$112,MATCH($N$1,$C$112:$C$113,0)-1,0)</f>
        <v>2363</v>
      </c>
    </row>
    <row r="131" spans="1:15" ht="18" customHeight="1" x14ac:dyDescent="0.2">
      <c r="A131" s="205" t="s">
        <v>29</v>
      </c>
      <c r="B131" s="35" t="s">
        <v>66</v>
      </c>
      <c r="C131" s="66">
        <v>1.6889489018447383</v>
      </c>
      <c r="D131" s="66">
        <v>1.3307082649342352</v>
      </c>
      <c r="E131" s="66">
        <v>0.36108137003670016</v>
      </c>
      <c r="F131" s="67">
        <v>0.57403356389259674</v>
      </c>
    </row>
    <row r="132" spans="1:15" ht="18" customHeight="1" x14ac:dyDescent="0.2">
      <c r="A132" s="206"/>
      <c r="B132" s="37" t="s">
        <v>67</v>
      </c>
      <c r="C132" s="63">
        <f ca="1">4.58701967036608*OFFSET($L$112,MATCH($N$1,$C$112:$C$113,0)-1,0)</f>
        <v>4.5870196703660797</v>
      </c>
      <c r="D132" s="63">
        <f ca="1">3.09072148825819*OFFSET($L$112,MATCH($N$1,$C$112:$C$113,0)-1,0)</f>
        <v>3.0907214882581902</v>
      </c>
      <c r="E132" s="63">
        <f ca="1">0.876769521306943*OFFSET($L$112,MATCH($N$1,$C$112:$C$113,0)-1,0)</f>
        <v>0.87676952130694297</v>
      </c>
      <c r="F132" s="64">
        <f ca="1">1.35627404695507*OFFSET($L$112,MATCH($N$1,$C$112:$C$113,0)-1,0)</f>
        <v>1.35627404695507</v>
      </c>
    </row>
    <row r="133" spans="1:15" ht="18" customHeight="1" x14ac:dyDescent="0.2">
      <c r="A133" s="206"/>
      <c r="B133" s="37" t="s">
        <v>11</v>
      </c>
      <c r="C133" s="63">
        <f ca="1">5.30823084378256*OFFSET($L$112,MATCH($N$1,$C$112:$C$113,0)-1,0)</f>
        <v>5.3082308437825603</v>
      </c>
      <c r="D133" s="63">
        <f ca="1">4.42081106564539*OFFSET($L$112,MATCH($N$1,$C$112:$C$113,0)-1,0)</f>
        <v>4.4208110656453901</v>
      </c>
      <c r="E133" s="63">
        <f ca="1">2.37750393607917*OFFSET($L$112,MATCH($N$1,$C$112:$C$113,0)-1,0)</f>
        <v>2.3775039360791701</v>
      </c>
      <c r="F133" s="64">
        <f ca="1">1.02834686369134*OFFSET($L$112,MATCH($N$1,$C$112:$C$113,0)-1,0)</f>
        <v>1.02834686369134</v>
      </c>
    </row>
    <row r="134" spans="1:15" ht="18" customHeight="1" x14ac:dyDescent="0.2">
      <c r="A134" s="207"/>
      <c r="B134" s="39" t="s">
        <v>12</v>
      </c>
      <c r="C134" s="68">
        <f ca="1">-0.721211173416479*OFFSET($L$112,MATCH($N$1,$C$112:$C$113,0)-1,0)</f>
        <v>-0.721211173416479</v>
      </c>
      <c r="D134" s="68">
        <f ca="1">-1.33008957738719*OFFSET($L$112,MATCH($N$1,$C$112:$C$113,0)-1,0)</f>
        <v>-1.3300895773871899</v>
      </c>
      <c r="E134" s="68">
        <f ca="1">-1.50073441477223*OFFSET($L$112,MATCH($N$1,$C$112:$C$113,0)-1,0)</f>
        <v>-1.5007344147722299</v>
      </c>
      <c r="F134" s="69">
        <f ca="1">0.327927183263727*OFFSET($L$112,MATCH($N$1,$C$112:$C$113,0)-1,0)</f>
        <v>0.327927183263727</v>
      </c>
    </row>
    <row r="135" spans="1:15" ht="18" customHeight="1" x14ac:dyDescent="0.2">
      <c r="A135" s="208" t="s">
        <v>49</v>
      </c>
      <c r="B135" s="37" t="s">
        <v>109</v>
      </c>
      <c r="C135" s="70">
        <f ca="1">1.16164245605469*OFFSET($L$112,MATCH($N$1,$C$112:$C$113,0)-1,0)</f>
        <v>1.1616424560546901</v>
      </c>
      <c r="D135" s="70">
        <f ca="1">2.67720251464844*OFFSET($L$112,MATCH($N$1,$C$112:$C$113,0)-1,0)</f>
        <v>2.6772025146484402</v>
      </c>
      <c r="E135" s="70">
        <f ca="1">4.5437568359375*OFFSET($L$112,MATCH($N$1,$C$112:$C$113,0)-1,0)</f>
        <v>4.5437568359374998</v>
      </c>
      <c r="F135" s="71">
        <f ca="1">3.33512963867188*OFFSET($L$112,MATCH($N$1,$C$112:$C$113,0)-1,0)</f>
        <v>3.3351296386718801</v>
      </c>
    </row>
    <row r="136" spans="1:15" ht="18" customHeight="1" x14ac:dyDescent="0.2">
      <c r="A136" s="209"/>
      <c r="B136" s="37" t="s">
        <v>110</v>
      </c>
      <c r="C136" s="31">
        <v>2279.166633605957</v>
      </c>
      <c r="D136" s="31">
        <v>5199.9998322591709</v>
      </c>
      <c r="E136" s="31">
        <v>8712.5001404923387</v>
      </c>
      <c r="F136" s="72">
        <v>8901.9607843137255</v>
      </c>
    </row>
    <row r="137" spans="1:15" ht="18" customHeight="1" x14ac:dyDescent="0.2">
      <c r="A137" s="209"/>
      <c r="B137" s="37" t="s">
        <v>111</v>
      </c>
      <c r="C137" s="31">
        <v>246.39639282226563</v>
      </c>
      <c r="D137" s="31">
        <v>409.18032490497779</v>
      </c>
      <c r="E137" s="31">
        <v>515.024658203125</v>
      </c>
      <c r="F137" s="72">
        <v>411.23187255859375</v>
      </c>
    </row>
    <row r="138" spans="1:15" ht="18" customHeight="1" x14ac:dyDescent="0.2">
      <c r="A138" s="209"/>
      <c r="B138" s="37" t="s">
        <v>112</v>
      </c>
      <c r="C138" s="31">
        <f ca="1">125.582968222128*OFFSET($L$112,MATCH($N$1,$C$112:$C$113,0)-1,0)</f>
        <v>125.582968222128</v>
      </c>
      <c r="D138" s="31">
        <f ca="1">210.665121176426*OFFSET($L$112,MATCH($N$1,$C$112:$C$113,0)-1,0)</f>
        <v>210.665121176426</v>
      </c>
      <c r="E138" s="31">
        <f ca="1">268.59647330285*OFFSET($L$112,MATCH($N$1,$C$112:$C$113,0)-1,0)</f>
        <v>268.59647330284997</v>
      </c>
      <c r="F138" s="72">
        <f ca="1">154.068491138611*OFFSET($L$112,MATCH($N$1,$C$112:$C$113,0)-1,0)</f>
        <v>154.06849113861099</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719.885031903529*OFFSET($L$112,MATCH($N$1,$C$112:$C$113,0)-1,0)</f>
        <v>719.88503190352901</v>
      </c>
      <c r="D139" s="31">
        <f ca="1">1249.99244744827*OFFSET($L$112,MATCH($N$1,$C$112:$C$113,0)-1,0)</f>
        <v>1249.99244744827</v>
      </c>
      <c r="E139" s="31">
        <f ca="1">4418.06289270851*OFFSET($L$112,MATCH($N$1,$C$112:$C$113,0)-1,0)</f>
        <v>4418.0628927085099</v>
      </c>
      <c r="F139" s="72">
        <f ca="1">1884.88459798439*OFFSET($L$112,MATCH($N$1,$C$112:$C$113,0)-1,0)</f>
        <v>1884.88459798439</v>
      </c>
      <c r="I139" s="48"/>
      <c r="K139" s="73" t="s">
        <v>114</v>
      </c>
      <c r="L139" s="74">
        <f t="shared" ref="L139:M141" ca="1" si="2">C140</f>
        <v>4.7095180664062504</v>
      </c>
      <c r="M139" s="74">
        <f t="shared" ca="1" si="2"/>
        <v>5.3456917724609401</v>
      </c>
      <c r="N139" s="74">
        <f ca="1">E140</f>
        <v>2.6835927734374998</v>
      </c>
      <c r="O139" s="74"/>
    </row>
    <row r="140" spans="1:15" ht="18" customHeight="1" x14ac:dyDescent="0.2">
      <c r="A140" s="187" t="s">
        <v>50</v>
      </c>
      <c r="B140" s="35" t="s">
        <v>115</v>
      </c>
      <c r="C140" s="75">
        <f ca="1">4.70951806640625*OFFSET($L$112,MATCH($N$1,$C$112:$C$113,0)-1,0)</f>
        <v>4.7095180664062504</v>
      </c>
      <c r="D140" s="75">
        <f ca="1">5.34569177246094*OFFSET($L$112,MATCH($N$1,$C$112:$C$113,0)-1,0)</f>
        <v>5.3456917724609401</v>
      </c>
      <c r="E140" s="75">
        <f ca="1">2.6835927734375*OFFSET($L$112,MATCH($N$1,$C$112:$C$113,0)-1,0)</f>
        <v>2.6835927734374998</v>
      </c>
      <c r="F140" s="76">
        <f ca="1">9.5651162109375*OFFSET($L$112,MATCH($N$1,$C$112:$C$113,0)-1,0)</f>
        <v>9.5651162109375001</v>
      </c>
      <c r="I140" s="48"/>
      <c r="K140" s="73" t="s">
        <v>116</v>
      </c>
      <c r="L140" s="74">
        <f t="shared" ca="1" si="2"/>
        <v>5.3985751953124996</v>
      </c>
      <c r="M140" s="74">
        <f t="shared" ca="1" si="2"/>
        <v>7.4864709472656203</v>
      </c>
      <c r="N140" s="74">
        <f ca="1">E141</f>
        <v>6.9580590820312498</v>
      </c>
      <c r="O140" s="74"/>
    </row>
    <row r="141" spans="1:15" ht="18" customHeight="1" x14ac:dyDescent="0.2">
      <c r="A141" s="188"/>
      <c r="B141" s="37" t="s">
        <v>117</v>
      </c>
      <c r="C141" s="31">
        <f ca="1">5.3985751953125*OFFSET($L$112,MATCH($N$1,$C$112:$C$113,0)-1,0)</f>
        <v>5.3985751953124996</v>
      </c>
      <c r="D141" s="31">
        <f ca="1">7.48647094726562*OFFSET($L$112,MATCH($N$1,$C$112:$C$113,0)-1,0)</f>
        <v>7.4864709472656203</v>
      </c>
      <c r="E141" s="31">
        <f ca="1">6.95805908203125*OFFSET($L$112,MATCH($N$1,$C$112:$C$113,0)-1,0)</f>
        <v>6.9580590820312498</v>
      </c>
      <c r="F141" s="72">
        <f ca="1">8.5543095703125*OFFSET($L$112,MATCH($N$1,$C$112:$C$113,0)-1,0)</f>
        <v>8.5543095703124994</v>
      </c>
      <c r="I141" s="48"/>
      <c r="K141" s="73" t="s">
        <v>118</v>
      </c>
      <c r="L141" s="74">
        <f t="shared" ca="1" si="2"/>
        <v>-0.68905712890625004</v>
      </c>
      <c r="M141" s="74">
        <f t="shared" ca="1" si="2"/>
        <v>-2.14077917480469</v>
      </c>
      <c r="N141" s="74">
        <f ca="1">E142</f>
        <v>-4.27446630859375</v>
      </c>
      <c r="O141" s="74"/>
    </row>
    <row r="142" spans="1:15" ht="18" customHeight="1" x14ac:dyDescent="0.2">
      <c r="A142" s="189"/>
      <c r="B142" s="39" t="s">
        <v>119</v>
      </c>
      <c r="C142" s="40">
        <f ca="1">-0.68905712890625*OFFSET($L$112,MATCH($N$1,$C$112:$C$113,0)-1,0)</f>
        <v>-0.68905712890625004</v>
      </c>
      <c r="D142" s="40">
        <f ca="1">-2.14077917480469*OFFSET($L$112,MATCH($N$1,$C$112:$C$113,0)-1,0)</f>
        <v>-2.14077917480469</v>
      </c>
      <c r="E142" s="40">
        <f ca="1">-4.27446630859375*OFFSET($L$112,MATCH($N$1,$C$112:$C$113,0)-1,0)</f>
        <v>-4.27446630859375</v>
      </c>
      <c r="F142" s="65">
        <f ca="1">1.010806640625*OFFSET($L$112,MATCH($N$1,$C$112:$C$113,0)-1,0)</f>
        <v>1.010806640625</v>
      </c>
      <c r="I142" s="48"/>
      <c r="K142" s="73" t="s">
        <v>120</v>
      </c>
      <c r="L142" s="77">
        <f ca="1">IFERROR(L140/L$139,"")</f>
        <v>1.1463116011426742</v>
      </c>
      <c r="M142" s="77">
        <f t="shared" ref="M142:N143" ca="1" si="3">IFERROR(M140/M$139,"")</f>
        <v>1.400468127592615</v>
      </c>
      <c r="N142" s="77">
        <f t="shared" ca="1" si="3"/>
        <v>2.5928148081567715</v>
      </c>
      <c r="O142" s="77"/>
    </row>
    <row r="143" spans="1:15" ht="18" customHeight="1" x14ac:dyDescent="0.2">
      <c r="I143" s="48"/>
      <c r="K143" s="73" t="s">
        <v>121</v>
      </c>
      <c r="L143" s="77">
        <f ca="1">IFERROR(L141/L$139,"")</f>
        <v>-0.1463116011426743</v>
      </c>
      <c r="M143" s="77">
        <f t="shared" ca="1" si="3"/>
        <v>-0.40046812759261691</v>
      </c>
      <c r="N143" s="77">
        <f t="shared" ca="1" si="3"/>
        <v>-1.5928148081567717</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11</v>
      </c>
      <c r="B161" s="53"/>
      <c r="C161" s="78" t="s">
        <v>45</v>
      </c>
      <c r="D161" s="78" t="s">
        <v>122</v>
      </c>
      <c r="E161" s="78" t="s">
        <v>47</v>
      </c>
      <c r="F161" s="78" t="s">
        <v>123</v>
      </c>
      <c r="G161" s="79">
        <v>10</v>
      </c>
      <c r="H161" s="78"/>
      <c r="I161" s="78" t="s">
        <v>45</v>
      </c>
      <c r="J161" s="78" t="s">
        <v>122</v>
      </c>
      <c r="K161" s="78" t="s">
        <v>47</v>
      </c>
      <c r="L161" s="53" t="s">
        <v>123</v>
      </c>
      <c r="R161" s="21"/>
      <c r="S161" s="21"/>
    </row>
    <row r="162" spans="1:19" s="48" customFormat="1" x14ac:dyDescent="0.2">
      <c r="A162" s="49">
        <v>1</v>
      </c>
      <c r="B162" s="53" t="s">
        <v>102</v>
      </c>
      <c r="C162" s="53">
        <v>6.0938449300881145E-2</v>
      </c>
      <c r="D162" s="53">
        <v>0.31484847873428728</v>
      </c>
      <c r="E162" s="53">
        <v>0.17260757626067819</v>
      </c>
      <c r="F162" s="49">
        <v>12153634</v>
      </c>
      <c r="G162" s="49">
        <v>1</v>
      </c>
      <c r="H162" s="53" t="s">
        <v>102</v>
      </c>
      <c r="I162" s="53">
        <v>5.5599306260721015E-2</v>
      </c>
      <c r="J162" s="53">
        <v>0.34103099221447081</v>
      </c>
      <c r="K162" s="53">
        <v>0.19302536043268556</v>
      </c>
      <c r="L162" s="49">
        <v>12153634</v>
      </c>
      <c r="R162" s="21"/>
      <c r="S162" s="21"/>
    </row>
    <row r="163" spans="1:19" s="48" customFormat="1" x14ac:dyDescent="0.2">
      <c r="A163" s="49">
        <v>2</v>
      </c>
      <c r="B163" s="53" t="s">
        <v>100</v>
      </c>
      <c r="C163" s="53">
        <v>0.29700265695895905</v>
      </c>
      <c r="D163" s="53">
        <v>0.22665026767231392</v>
      </c>
      <c r="E163" s="53">
        <v>0.31834921957671186</v>
      </c>
      <c r="F163" s="49">
        <v>553960</v>
      </c>
      <c r="G163" s="49">
        <v>2</v>
      </c>
      <c r="H163" s="53" t="s">
        <v>100</v>
      </c>
      <c r="I163" s="53">
        <v>0.19587027051995606</v>
      </c>
      <c r="J163" s="53">
        <v>0.18796721074111439</v>
      </c>
      <c r="K163" s="53">
        <v>0.32647623175679719</v>
      </c>
      <c r="L163" s="49">
        <v>553960</v>
      </c>
      <c r="N163" s="48" t="s">
        <v>124</v>
      </c>
      <c r="R163" s="21"/>
      <c r="S163" s="21"/>
    </row>
    <row r="164" spans="1:19" s="48" customFormat="1" x14ac:dyDescent="0.2">
      <c r="A164" s="49">
        <v>3</v>
      </c>
      <c r="B164" s="53" t="s">
        <v>104</v>
      </c>
      <c r="C164" s="53">
        <v>0</v>
      </c>
      <c r="D164" s="53">
        <v>0.11210221407910448</v>
      </c>
      <c r="E164" s="53">
        <v>0</v>
      </c>
      <c r="F164" s="49">
        <v>2480382</v>
      </c>
      <c r="G164" s="49">
        <v>3</v>
      </c>
      <c r="H164" s="53" t="s">
        <v>245</v>
      </c>
      <c r="I164" s="53">
        <v>6.2975776277890305E-2</v>
      </c>
      <c r="J164" s="53">
        <v>0.14871824134695064</v>
      </c>
      <c r="K164" s="53">
        <v>0.10509560760584113</v>
      </c>
      <c r="L164" s="49">
        <v>3050596</v>
      </c>
      <c r="N164" s="48" t="s">
        <v>125</v>
      </c>
      <c r="R164" s="21"/>
      <c r="S164" s="21"/>
    </row>
    <row r="165" spans="1:19" s="48" customFormat="1" x14ac:dyDescent="0.2">
      <c r="A165" s="49">
        <v>4</v>
      </c>
      <c r="B165" s="53" t="s">
        <v>248</v>
      </c>
      <c r="C165" s="53">
        <v>0</v>
      </c>
      <c r="D165" s="53">
        <v>8.1627227444526496E-2</v>
      </c>
      <c r="E165" s="53">
        <v>0.18046525946939501</v>
      </c>
      <c r="F165" s="49">
        <v>11115023</v>
      </c>
      <c r="G165" s="49">
        <v>4</v>
      </c>
      <c r="H165" s="53" t="s">
        <v>144</v>
      </c>
      <c r="I165" s="53">
        <v>8.2297415369053481E-2</v>
      </c>
      <c r="J165" s="53">
        <v>0.12236328053843813</v>
      </c>
      <c r="K165" s="53">
        <v>0</v>
      </c>
      <c r="L165" s="49">
        <v>1692097</v>
      </c>
      <c r="R165" s="21"/>
      <c r="S165" s="21"/>
    </row>
    <row r="166" spans="1:19" s="48" customFormat="1" x14ac:dyDescent="0.2">
      <c r="A166" s="49">
        <v>5</v>
      </c>
      <c r="B166" s="53" t="s">
        <v>106</v>
      </c>
      <c r="C166" s="53">
        <v>5.4369496517407842E-2</v>
      </c>
      <c r="D166" s="53">
        <v>5.3340502914702777E-2</v>
      </c>
      <c r="E166" s="53">
        <v>0</v>
      </c>
      <c r="F166" s="49">
        <v>7434864</v>
      </c>
      <c r="G166" s="49">
        <v>5</v>
      </c>
      <c r="H166" s="53" t="s">
        <v>104</v>
      </c>
      <c r="I166" s="53">
        <v>0</v>
      </c>
      <c r="J166" s="53">
        <v>6.8372306690291679E-2</v>
      </c>
      <c r="K166" s="53">
        <v>0</v>
      </c>
      <c r="L166" s="49">
        <v>2480382</v>
      </c>
      <c r="R166" s="21"/>
      <c r="S166" s="21"/>
    </row>
    <row r="167" spans="1:19" s="48" customFormat="1" x14ac:dyDescent="0.2">
      <c r="A167" s="49">
        <v>6</v>
      </c>
      <c r="B167" s="53" t="s">
        <v>247</v>
      </c>
      <c r="C167" s="53">
        <v>0</v>
      </c>
      <c r="D167" s="53">
        <v>0</v>
      </c>
      <c r="E167" s="53">
        <v>0.132955740387496</v>
      </c>
      <c r="F167" s="49">
        <v>8497745</v>
      </c>
      <c r="G167" s="49">
        <v>6</v>
      </c>
      <c r="H167" s="53" t="s">
        <v>228</v>
      </c>
      <c r="I167" s="53">
        <v>0</v>
      </c>
      <c r="J167" s="53">
        <v>0</v>
      </c>
      <c r="K167" s="53">
        <v>0.1857299651081144</v>
      </c>
      <c r="L167" s="49">
        <v>2887140</v>
      </c>
      <c r="R167" s="21"/>
      <c r="S167" s="21"/>
    </row>
    <row r="168" spans="1:19" s="48" customFormat="1" x14ac:dyDescent="0.2">
      <c r="A168" s="49">
        <v>7</v>
      </c>
      <c r="B168" s="53" t="s">
        <v>250</v>
      </c>
      <c r="C168" s="53">
        <v>0</v>
      </c>
      <c r="D168" s="53">
        <v>0</v>
      </c>
      <c r="E168" s="53">
        <v>6.9801760533523535E-2</v>
      </c>
      <c r="F168" s="49">
        <v>14393110</v>
      </c>
      <c r="G168" s="49">
        <v>7</v>
      </c>
      <c r="H168" s="53" t="s">
        <v>248</v>
      </c>
      <c r="I168" s="53">
        <v>0</v>
      </c>
      <c r="J168" s="53">
        <v>0</v>
      </c>
      <c r="K168" s="53">
        <v>9.9003031864868085E-2</v>
      </c>
      <c r="L168" s="49">
        <v>11115023</v>
      </c>
      <c r="R168" s="21"/>
      <c r="S168" s="21"/>
    </row>
    <row r="169" spans="1:19" s="48" customFormat="1" x14ac:dyDescent="0.2">
      <c r="A169" s="49">
        <v>8</v>
      </c>
      <c r="B169" s="53" t="s">
        <v>246</v>
      </c>
      <c r="C169" s="53">
        <v>0.284345016374763</v>
      </c>
      <c r="D169" s="53">
        <v>0</v>
      </c>
      <c r="E169" s="53">
        <v>0</v>
      </c>
      <c r="F169" s="49">
        <v>3689192</v>
      </c>
      <c r="G169" s="49">
        <v>8</v>
      </c>
      <c r="H169" s="53" t="s">
        <v>246</v>
      </c>
      <c r="I169" s="53">
        <v>0.23579408133370808</v>
      </c>
      <c r="J169" s="53">
        <v>0</v>
      </c>
      <c r="K169" s="53">
        <v>0</v>
      </c>
      <c r="L169" s="49">
        <v>3689192</v>
      </c>
      <c r="R169" s="21"/>
      <c r="S169" s="21"/>
    </row>
    <row r="170" spans="1:19" s="48" customFormat="1" x14ac:dyDescent="0.2">
      <c r="A170" s="49">
        <v>9</v>
      </c>
      <c r="B170" s="53" t="s">
        <v>144</v>
      </c>
      <c r="C170" s="53">
        <v>3.1672500455073416E-2</v>
      </c>
      <c r="D170" s="53">
        <v>0</v>
      </c>
      <c r="E170" s="53">
        <v>0</v>
      </c>
      <c r="F170" s="49">
        <v>1692097</v>
      </c>
      <c r="G170" s="49">
        <v>9</v>
      </c>
      <c r="H170" s="53" t="s">
        <v>107</v>
      </c>
      <c r="I170" s="53">
        <v>0.36746315023867115</v>
      </c>
      <c r="J170" s="53">
        <v>0.13154796846873429</v>
      </c>
      <c r="K170" s="53">
        <v>9.0669803231693713E-2</v>
      </c>
      <c r="L170" s="49">
        <v>5920853</v>
      </c>
      <c r="R170" s="21"/>
      <c r="S170" s="21"/>
    </row>
    <row r="171" spans="1:19" s="48" customFormat="1" x14ac:dyDescent="0.2">
      <c r="A171" s="49">
        <v>10</v>
      </c>
      <c r="B171" s="53" t="s">
        <v>107</v>
      </c>
      <c r="C171" s="53">
        <v>0.27167188039291557</v>
      </c>
      <c r="D171" s="53">
        <v>0.21143130915506492</v>
      </c>
      <c r="E171" s="53">
        <v>0.12582044377219537</v>
      </c>
      <c r="F171" s="49">
        <v>5920853</v>
      </c>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8DD3B148-09D4-480A-B181-414475D2DD84}">
      <formula1>$C$112:$C$113</formula1>
    </dataValidation>
  </dataValidations>
  <hyperlinks>
    <hyperlink ref="O1:P1" location="Home_page" display="Back to home page" xr:uid="{E96CF639-2D90-4582-9EFD-494A787AA993}"/>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8D307CAE-85CD-4AE9-94E2-3C28A174B6CE}">
          <x14:colorSeries rgb="FF323232"/>
          <x14:colorNegative rgb="FFD00000"/>
          <x14:colorAxis rgb="FF000000"/>
          <x14:colorMarkers rgb="FFD00000"/>
          <x14:colorFirst rgb="FFD00000"/>
          <x14:colorLast rgb="FFD00000"/>
          <x14:colorHigh rgb="FFD00000"/>
          <x14:colorLow rgb="FFD00000"/>
          <x14:sparklines>
            <x14:sparkline>
              <xm:f>'Low activity over 10m'!D3:N3</xm:f>
              <xm:sqref>C3</xm:sqref>
            </x14:sparkline>
            <x14:sparkline>
              <xm:f>'Low activity over 10m'!D4:N4</xm:f>
              <xm:sqref>C4</xm:sqref>
            </x14:sparkline>
            <x14:sparkline>
              <xm:f>'Low activity over 10m'!D5:N5</xm:f>
              <xm:sqref>C5</xm:sqref>
            </x14:sparkline>
            <x14:sparkline>
              <xm:f>'Low activity over 10m'!D6:N6</xm:f>
              <xm:sqref>C6</xm:sqref>
            </x14:sparkline>
            <x14:sparkline>
              <xm:f>'Low activity over 10m'!D7:N7</xm:f>
              <xm:sqref>C7</xm:sqref>
            </x14:sparkline>
            <x14:sparkline>
              <xm:f>'Low activity over 10m'!D8:N8</xm:f>
              <xm:sqref>C8</xm:sqref>
            </x14:sparkline>
            <x14:sparkline>
              <xm:f>'Low activity over 10m'!D9:N9</xm:f>
              <xm:sqref>C9</xm:sqref>
            </x14:sparkline>
            <x14:sparkline>
              <xm:f>'Low activity over 10m'!D10:N10</xm:f>
              <xm:sqref>C10</xm:sqref>
            </x14:sparkline>
            <x14:sparkline>
              <xm:f>'Low activity over 10m'!D11:N11</xm:f>
              <xm:sqref>C11</xm:sqref>
            </x14:sparkline>
            <x14:sparkline>
              <xm:f>'Low activity over 10m'!D12:N12</xm:f>
              <xm:sqref>C12</xm:sqref>
            </x14:sparkline>
            <x14:sparkline>
              <xm:f>'Low activity over 10m'!D13:N13</xm:f>
              <xm:sqref>C13</xm:sqref>
            </x14:sparkline>
            <x14:sparkline>
              <xm:f>'Low activity over 10m'!D14:N14</xm:f>
              <xm:sqref>C14</xm:sqref>
            </x14:sparkline>
            <x14:sparkline>
              <xm:f>'Low activity over 10m'!D15:N15</xm:f>
              <xm:sqref>C15</xm:sqref>
            </x14:sparkline>
            <x14:sparkline>
              <xm:f>'Low activity over 10m'!D16:N16</xm:f>
              <xm:sqref>C16</xm:sqref>
            </x14:sparkline>
            <x14:sparkline>
              <xm:f>'Low activity over 10m'!D17:N17</xm:f>
              <xm:sqref>C17</xm:sqref>
            </x14:sparkline>
            <x14:sparkline>
              <xm:f>'Low activity over 10m'!D18:N18</xm:f>
              <xm:sqref>C18</xm:sqref>
            </x14:sparkline>
            <x14:sparkline>
              <xm:f>'Low activity over 10m'!D19:N19</xm:f>
              <xm:sqref>C19</xm:sqref>
            </x14:sparkline>
            <x14:sparkline>
              <xm:f>'Low activity over 10m'!D20:N20</xm:f>
              <xm:sqref>C20</xm:sqref>
            </x14:sparkline>
            <x14:sparkline>
              <xm:f>'Low activity over 10m'!D21:N21</xm:f>
              <xm:sqref>C21</xm:sqref>
            </x14:sparkline>
            <x14:sparkline>
              <xm:f>'Low activity over 10m'!D22:N22</xm:f>
              <xm:sqref>C22</xm:sqref>
            </x14:sparkline>
            <x14:sparkline>
              <xm:f>'Low activity over 10m'!D23:N23</xm:f>
              <xm:sqref>C23</xm:sqref>
            </x14:sparkline>
            <x14:sparkline>
              <xm:f>'Low activity over 10m'!D24:N24</xm:f>
              <xm:sqref>C24</xm:sqref>
            </x14:sparkline>
            <x14:sparkline>
              <xm:f>'Low activity over 10m'!D25:N25</xm:f>
              <xm:sqref>C25</xm:sqref>
            </x14:sparkline>
            <x14:sparkline>
              <xm:f>'Low activity over 10m'!D26:N26</xm:f>
              <xm:sqref>C26</xm:sqref>
            </x14:sparkline>
            <x14:sparkline>
              <xm:f>'Low activity over 10m'!D27:N27</xm:f>
              <xm:sqref>C27</xm:sqref>
            </x14:sparkline>
            <x14:sparkline>
              <xm:f>'Low activity over 10m'!D28:N28</xm:f>
              <xm:sqref>C28</xm:sqref>
            </x14:sparkline>
            <x14:sparkline>
              <xm:f>'Low activity over 10m'!D29:N29</xm:f>
              <xm:sqref>C29</xm:sqref>
            </x14:sparkline>
            <x14:sparkline>
              <xm:f>'Low activity over 10m'!D30:N30</xm:f>
              <xm:sqref>C30</xm:sqref>
            </x14:sparkline>
            <x14:sparkline>
              <xm:f>'Low activity over 10m'!D31:N31</xm:f>
              <xm:sqref>C31</xm:sqref>
            </x14:sparkline>
            <x14:sparkline>
              <xm:f>'Low activity over 10m'!D32:N32</xm:f>
              <xm:sqref>C32</xm:sqref>
            </x14:sparkline>
            <x14:sparkline>
              <xm:f>'Low activity over 10m'!D33:N33</xm:f>
              <xm:sqref>C33</xm:sqref>
            </x14:sparkline>
            <x14:sparkline>
              <xm:f>'Low activity over 10m'!D34:N34</xm:f>
              <xm:sqref>C34</xm:sqref>
            </x14:sparkline>
            <x14:sparkline>
              <xm:f>'Low activity over 10m'!D35:N35</xm:f>
              <xm:sqref>C35</xm:sqref>
            </x14:sparkline>
            <x14:sparkline>
              <xm:f>'Low activity over 10m'!D36:N36</xm:f>
              <xm:sqref>C36</xm:sqref>
            </x14:sparkline>
            <x14:sparkline>
              <xm:f>'Low activity over 10m'!D37:N37</xm:f>
              <xm:sqref>C37</xm:sqref>
            </x14:sparkline>
            <x14:sparkline>
              <xm:f>'Low activity over 10m'!D38:N38</xm:f>
              <xm:sqref>C38</xm:sqref>
            </x14:sparkline>
            <x14:sparkline>
              <xm:f>'Low activity over 10m'!D39:N39</xm:f>
              <xm:sqref>C39</xm:sqref>
            </x14:sparkline>
            <x14:sparkline>
              <xm:f>'Low activity over 10m'!D40:N40</xm:f>
              <xm:sqref>C40</xm:sqref>
            </x14:sparkline>
            <x14:sparkline>
              <xm:f>'Low activity over 10m'!D41:N41</xm:f>
              <xm:sqref>C41</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BA73F-6383-4C3A-8F34-9DF2B7E0D3E4}">
  <sheetPr codeName="Feuil15">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251</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1705</v>
      </c>
      <c r="E3" s="28">
        <v>1717</v>
      </c>
      <c r="F3" s="28">
        <v>1679</v>
      </c>
      <c r="G3" s="28">
        <v>1575</v>
      </c>
      <c r="H3" s="28">
        <v>1684</v>
      </c>
      <c r="I3" s="28">
        <v>1671</v>
      </c>
      <c r="J3" s="28">
        <v>1624</v>
      </c>
      <c r="K3" s="28">
        <v>1528</v>
      </c>
      <c r="L3" s="28">
        <v>1491</v>
      </c>
      <c r="M3" s="28">
        <v>1500</v>
      </c>
      <c r="N3" s="28">
        <v>1351</v>
      </c>
      <c r="O3" s="29">
        <f t="shared" ref="O3:O41" si="0">IF(N3=0,"",IFERROR(IF(AND(N3&gt;0,D3&lt;0),"na",IF(AND(N3&lt;0,D3&lt;0),-1,1)*(N3-D3)/D3),""))</f>
        <v>-0.20762463343108503</v>
      </c>
      <c r="P3" s="29">
        <f t="shared" ref="P3:P41" si="1">IF(N3=0,"",IFERROR(IF(AND(N3&gt;0,J3&lt;0),"na",IF(AND(N3&lt;0,J3&lt;0),-1,1)*(N3-J3)/J3),""))</f>
        <v>-0.16810344827586207</v>
      </c>
    </row>
    <row r="4" spans="1:17" ht="18" customHeight="1" x14ac:dyDescent="0.2">
      <c r="A4" s="193"/>
      <c r="B4" s="30" t="s">
        <v>55</v>
      </c>
      <c r="C4" s="31"/>
      <c r="D4" s="31">
        <v>63831</v>
      </c>
      <c r="E4" s="31">
        <v>62887</v>
      </c>
      <c r="F4" s="31">
        <v>63527</v>
      </c>
      <c r="G4" s="31">
        <v>59630</v>
      </c>
      <c r="H4" s="31">
        <v>63944</v>
      </c>
      <c r="I4" s="31">
        <v>64694</v>
      </c>
      <c r="J4" s="31">
        <v>61733</v>
      </c>
      <c r="K4" s="31">
        <v>56233</v>
      </c>
      <c r="L4" s="31">
        <v>54559</v>
      </c>
      <c r="M4" s="31">
        <v>55656.9609375</v>
      </c>
      <c r="N4" s="31">
        <v>50439.4296875</v>
      </c>
      <c r="O4" s="29">
        <f t="shared" si="0"/>
        <v>-0.20979728208080714</v>
      </c>
      <c r="P4" s="29">
        <f t="shared" si="1"/>
        <v>-0.18294219157500852</v>
      </c>
    </row>
    <row r="5" spans="1:17" ht="18" customHeight="1" x14ac:dyDescent="0.2">
      <c r="A5" s="193"/>
      <c r="B5" s="30" t="s">
        <v>56</v>
      </c>
      <c r="C5" s="31"/>
      <c r="D5" s="31">
        <v>4021.550048828125</v>
      </c>
      <c r="E5" s="31">
        <v>3887.64990234375</v>
      </c>
      <c r="F5" s="31">
        <v>3882.6298828125</v>
      </c>
      <c r="G5" s="31">
        <v>3671.070068359375</v>
      </c>
      <c r="H5" s="31">
        <v>3916.239990234375</v>
      </c>
      <c r="I5" s="31">
        <v>5450.56005859375</v>
      </c>
      <c r="J5" s="31">
        <v>3681.1201171875</v>
      </c>
      <c r="K5" s="31">
        <v>3425.8798828125</v>
      </c>
      <c r="L5" s="31">
        <v>3323.64990234375</v>
      </c>
      <c r="M5" s="31">
        <v>3541.14990234375</v>
      </c>
      <c r="N5" s="31">
        <v>3265.949951171875</v>
      </c>
      <c r="O5" s="29">
        <f t="shared" si="0"/>
        <v>-0.18788777672341314</v>
      </c>
      <c r="P5" s="29">
        <f t="shared" si="1"/>
        <v>-0.11278365084506642</v>
      </c>
      <c r="Q5" s="32"/>
    </row>
    <row r="6" spans="1:17" ht="18" customHeight="1" x14ac:dyDescent="0.2">
      <c r="A6" s="193"/>
      <c r="B6" s="30" t="s">
        <v>57</v>
      </c>
      <c r="C6" s="31"/>
      <c r="D6" s="31">
        <v>56221.453125</v>
      </c>
      <c r="E6" s="31">
        <v>55394.70703125</v>
      </c>
      <c r="F6" s="31">
        <v>55430.74609375</v>
      </c>
      <c r="G6" s="31">
        <v>52511.92578125</v>
      </c>
      <c r="H6" s="31">
        <v>56094.67578125</v>
      </c>
      <c r="I6" s="31">
        <v>56073.67578125</v>
      </c>
      <c r="J6" s="31">
        <v>53831.78515625</v>
      </c>
      <c r="K6" s="31">
        <v>49767.84375</v>
      </c>
      <c r="L6" s="31">
        <v>47465.59765625</v>
      </c>
      <c r="M6" s="31">
        <v>47962.875</v>
      </c>
      <c r="N6" s="31">
        <v>43203.98828125</v>
      </c>
      <c r="O6" s="29">
        <f t="shared" si="0"/>
        <v>-0.23153910331715569</v>
      </c>
      <c r="P6" s="29">
        <f t="shared" si="1"/>
        <v>-0.19742605310509728</v>
      </c>
    </row>
    <row r="7" spans="1:17" ht="18" customHeight="1" x14ac:dyDescent="0.2">
      <c r="A7" s="193"/>
      <c r="B7" s="30" t="s">
        <v>58</v>
      </c>
      <c r="C7" s="31"/>
      <c r="D7" s="31">
        <v>2761.952880859375</v>
      </c>
      <c r="E7" s="31">
        <v>2308.896484375</v>
      </c>
      <c r="F7" s="31">
        <v>2332.751708984375</v>
      </c>
      <c r="G7" s="31">
        <v>2221.367919921875</v>
      </c>
      <c r="H7" s="31">
        <v>2281.4736328125</v>
      </c>
      <c r="I7" s="31">
        <v>2181.417236328125</v>
      </c>
      <c r="J7" s="31">
        <v>1829.851318359375</v>
      </c>
      <c r="K7" s="31">
        <v>1718.9920654296875</v>
      </c>
      <c r="L7" s="31">
        <v>1584.0909423828125</v>
      </c>
      <c r="M7" s="31">
        <v>1690.760498046875</v>
      </c>
      <c r="N7" s="31">
        <v>1444.0069580078125</v>
      </c>
      <c r="O7" s="29">
        <f t="shared" si="0"/>
        <v>-0.47717900330055119</v>
      </c>
      <c r="P7" s="29">
        <f t="shared" si="1"/>
        <v>-0.21086104454514173</v>
      </c>
    </row>
    <row r="8" spans="1:17" ht="18" customHeight="1" x14ac:dyDescent="0.2">
      <c r="A8" s="193"/>
      <c r="B8" s="30" t="s">
        <v>59</v>
      </c>
      <c r="C8" s="33"/>
      <c r="D8" s="33">
        <f ca="1">7.007276*OFFSET(D$112,MATCH($N$1,$C$112:$C$113,0)-1,0)</f>
        <v>7.0072760000000001</v>
      </c>
      <c r="E8" s="33">
        <f ca="1">6.7875795*OFFSET(E$112,MATCH($N$1,$C$112:$C$113,0)-1,0)</f>
        <v>6.7875794999999997</v>
      </c>
      <c r="F8" s="33">
        <f ca="1">6.6243165*OFFSET(F$112,MATCH($N$1,$C$112:$C$113,0)-1,0)</f>
        <v>6.6243164999999999</v>
      </c>
      <c r="G8" s="33">
        <f ca="1">5.630744*OFFSET(G$112,MATCH($N$1,$C$112:$C$113,0)-1,0)</f>
        <v>5.630744</v>
      </c>
      <c r="H8" s="33">
        <f ca="1">6.091003*OFFSET(H$112,MATCH($N$1,$C$112:$C$113,0)-1,0)</f>
        <v>6.0910029999999997</v>
      </c>
      <c r="I8" s="33">
        <f ca="1">6.258199*OFFSET(I$112,MATCH($N$1,$C$112:$C$113,0)-1,0)</f>
        <v>6.2581990000000003</v>
      </c>
      <c r="J8" s="33">
        <f ca="1">5.855293*OFFSET(J$112,MATCH($N$1,$C$112:$C$113,0)-1,0)</f>
        <v>5.8552929999999996</v>
      </c>
      <c r="K8" s="33">
        <f ca="1">5.5656555*OFFSET(K$112,MATCH($N$1,$C$112:$C$113,0)-1,0)</f>
        <v>5.5656555000000001</v>
      </c>
      <c r="L8" s="33">
        <f ca="1">5.1339765*OFFSET(L$112,MATCH($N$1,$C$112:$C$113,0)-1,0)</f>
        <v>5.1339765000000002</v>
      </c>
      <c r="M8" s="33">
        <f ca="1">5.050874*OFFSET(M$112,MATCH($N$1,$C$112:$C$113,0)-1,0)</f>
        <v>5.0508740000000003</v>
      </c>
      <c r="N8" s="33">
        <v>4.8541064999999994</v>
      </c>
      <c r="O8" s="29">
        <f t="shared" ca="1" si="0"/>
        <v>-0.3072762511423841</v>
      </c>
      <c r="P8" s="29">
        <f t="shared" ca="1" si="1"/>
        <v>-0.17098828359229851</v>
      </c>
    </row>
    <row r="9" spans="1:17" ht="18" customHeight="1" x14ac:dyDescent="0.2">
      <c r="A9" s="193"/>
      <c r="B9" s="30" t="s">
        <v>60</v>
      </c>
      <c r="C9" s="31"/>
      <c r="D9" s="31">
        <v>41934</v>
      </c>
      <c r="E9" s="31">
        <v>40232</v>
      </c>
      <c r="F9" s="31">
        <v>42385</v>
      </c>
      <c r="G9" s="31">
        <v>43363</v>
      </c>
      <c r="H9" s="31">
        <v>50104</v>
      </c>
      <c r="I9" s="31">
        <v>42100</v>
      </c>
      <c r="J9" s="31">
        <v>30037</v>
      </c>
      <c r="K9" s="31">
        <v>28802</v>
      </c>
      <c r="L9" s="31">
        <v>27035</v>
      </c>
      <c r="M9" s="31">
        <v>26848</v>
      </c>
      <c r="N9" s="31">
        <v>22946</v>
      </c>
      <c r="O9" s="29">
        <f t="shared" si="0"/>
        <v>-0.45280679162493442</v>
      </c>
      <c r="P9" s="29">
        <f t="shared" si="1"/>
        <v>-0.23607550687485435</v>
      </c>
    </row>
    <row r="10" spans="1:17" ht="18" customHeight="1" x14ac:dyDescent="0.2">
      <c r="A10" s="193"/>
      <c r="B10" s="30" t="s">
        <v>61</v>
      </c>
      <c r="C10" s="31"/>
      <c r="D10" s="31">
        <v>299.76568603515625</v>
      </c>
      <c r="E10" s="31">
        <v>175.46856689453125</v>
      </c>
      <c r="F10" s="31">
        <v>210.150390625</v>
      </c>
      <c r="G10" s="31">
        <v>192.978515625</v>
      </c>
      <c r="H10" s="31">
        <v>205.8623046875</v>
      </c>
      <c r="I10" s="31">
        <v>183.03956604003906</v>
      </c>
      <c r="J10" s="31">
        <v>135.31797790527344</v>
      </c>
      <c r="K10" s="31">
        <v>127.79803466796875</v>
      </c>
      <c r="L10" s="31">
        <v>90.90081787109375</v>
      </c>
      <c r="M10" s="31">
        <v>98.574806213378906</v>
      </c>
      <c r="N10" s="31">
        <v>84.071243286132813</v>
      </c>
      <c r="O10" s="34">
        <f t="shared" si="0"/>
        <v>-0.71954347277669062</v>
      </c>
      <c r="P10" s="34">
        <f t="shared" si="1"/>
        <v>-0.3787134230975196</v>
      </c>
    </row>
    <row r="11" spans="1:17" ht="18" customHeight="1" x14ac:dyDescent="0.2">
      <c r="A11" s="194" t="s">
        <v>27</v>
      </c>
      <c r="B11" s="35" t="s">
        <v>62</v>
      </c>
      <c r="C11" s="36"/>
      <c r="D11" s="36">
        <v>6.4667859077453613</v>
      </c>
      <c r="E11" s="36">
        <v>6.4117474555969238</v>
      </c>
      <c r="F11" s="36">
        <v>6.4550089836120605</v>
      </c>
      <c r="G11" s="36">
        <v>6.4699110984802246</v>
      </c>
      <c r="H11" s="36">
        <v>6.464993953704834</v>
      </c>
      <c r="I11" s="36">
        <v>6.4492521286010742</v>
      </c>
      <c r="J11" s="36">
        <v>6.3980236053466797</v>
      </c>
      <c r="K11" s="36">
        <v>6.3949475288391113</v>
      </c>
      <c r="L11" s="36">
        <v>6.3605632781982422</v>
      </c>
      <c r="M11" s="36">
        <v>6.4570932388305664</v>
      </c>
      <c r="N11" s="36">
        <v>6.4636492729187012</v>
      </c>
      <c r="O11" s="29">
        <f t="shared" si="0"/>
        <v>-4.8503767890372931E-4</v>
      </c>
      <c r="P11" s="29">
        <f t="shared" si="1"/>
        <v>1.0257178094369586E-2</v>
      </c>
    </row>
    <row r="12" spans="1:17" ht="18" customHeight="1" x14ac:dyDescent="0.2">
      <c r="A12" s="195"/>
      <c r="B12" s="37" t="s">
        <v>55</v>
      </c>
      <c r="C12" s="31"/>
      <c r="D12" s="31">
        <v>37.859432220458984</v>
      </c>
      <c r="E12" s="31">
        <v>37.21124267578125</v>
      </c>
      <c r="F12" s="31">
        <v>38.292343139648438</v>
      </c>
      <c r="G12" s="31">
        <v>38.396652221679688</v>
      </c>
      <c r="H12" s="31">
        <v>38.590221405029297</v>
      </c>
      <c r="I12" s="31">
        <v>39.303768157958984</v>
      </c>
      <c r="J12" s="31">
        <v>38.486907958984375</v>
      </c>
      <c r="K12" s="31">
        <v>37.215751647949219</v>
      </c>
      <c r="L12" s="31">
        <v>36.989151000976563</v>
      </c>
      <c r="M12" s="31">
        <v>37.504688262939453</v>
      </c>
      <c r="N12" s="31">
        <v>37.725826263427734</v>
      </c>
      <c r="O12" s="29">
        <f t="shared" si="0"/>
        <v>-3.5290005474263356E-3</v>
      </c>
      <c r="P12" s="29">
        <f t="shared" si="1"/>
        <v>-1.9775080304391505E-2</v>
      </c>
    </row>
    <row r="13" spans="1:17" ht="18" customHeight="1" x14ac:dyDescent="0.2">
      <c r="A13" s="195"/>
      <c r="B13" s="37" t="s">
        <v>56</v>
      </c>
      <c r="C13" s="31"/>
      <c r="D13" s="31">
        <v>2.3838469982147217</v>
      </c>
      <c r="E13" s="31">
        <v>2.300384521484375</v>
      </c>
      <c r="F13" s="31">
        <v>2.3403434753417969</v>
      </c>
      <c r="G13" s="31">
        <v>2.3608167171478271</v>
      </c>
      <c r="H13" s="31">
        <v>2.3648791313171387</v>
      </c>
      <c r="I13" s="31">
        <v>3.3134102821350098</v>
      </c>
      <c r="J13" s="31">
        <v>2.2949626445770264</v>
      </c>
      <c r="K13" s="31">
        <v>2.2733111381530762</v>
      </c>
      <c r="L13" s="31">
        <v>2.2579143047332764</v>
      </c>
      <c r="M13" s="31">
        <v>2.3926689624786377</v>
      </c>
      <c r="N13" s="31">
        <v>2.4500749111175537</v>
      </c>
      <c r="O13" s="29">
        <f t="shared" si="0"/>
        <v>2.7781947814784481E-2</v>
      </c>
      <c r="P13" s="29">
        <f t="shared" si="1"/>
        <v>6.7588144367864145E-2</v>
      </c>
    </row>
    <row r="14" spans="1:17" ht="18" customHeight="1" x14ac:dyDescent="0.2">
      <c r="A14" s="195"/>
      <c r="B14" s="37" t="s">
        <v>57</v>
      </c>
      <c r="C14" s="31"/>
      <c r="D14" s="31">
        <v>33.306549072265625</v>
      </c>
      <c r="E14" s="31">
        <v>32.739189147949219</v>
      </c>
      <c r="F14" s="31">
        <v>33.412143707275391</v>
      </c>
      <c r="G14" s="31">
        <v>33.769725799560547</v>
      </c>
      <c r="H14" s="31">
        <v>33.832733154296875</v>
      </c>
      <c r="I14" s="31">
        <v>34.025287628173828</v>
      </c>
      <c r="J14" s="31">
        <v>33.519168853759766</v>
      </c>
      <c r="K14" s="31">
        <v>32.937023162841797</v>
      </c>
      <c r="L14" s="31">
        <v>32.893692016601563</v>
      </c>
      <c r="M14" s="31">
        <v>33.423606872558594</v>
      </c>
      <c r="N14" s="31">
        <v>33.647964477539063</v>
      </c>
      <c r="O14" s="29">
        <f t="shared" si="0"/>
        <v>1.0250698880051017E-2</v>
      </c>
      <c r="P14" s="29">
        <f t="shared" si="1"/>
        <v>3.8424468202423873E-3</v>
      </c>
    </row>
    <row r="15" spans="1:17" ht="18" customHeight="1" x14ac:dyDescent="0.2">
      <c r="A15" s="195"/>
      <c r="B15" s="37" t="s">
        <v>58</v>
      </c>
      <c r="C15" s="33"/>
      <c r="D15" s="33">
        <v>1.6199136972427368</v>
      </c>
      <c r="E15" s="33">
        <v>1.3447270393371582</v>
      </c>
      <c r="F15" s="33">
        <v>1.3893696069717407</v>
      </c>
      <c r="G15" s="33">
        <v>1.4103924036026001</v>
      </c>
      <c r="H15" s="33">
        <v>1.3547942638397217</v>
      </c>
      <c r="I15" s="33">
        <v>1.3054561614990234</v>
      </c>
      <c r="J15" s="33">
        <v>1.1267557144165039</v>
      </c>
      <c r="K15" s="33">
        <v>1.1249948740005493</v>
      </c>
      <c r="L15" s="33">
        <v>1.0624352693557739</v>
      </c>
      <c r="M15" s="33">
        <v>1.1271736621856689</v>
      </c>
      <c r="N15" s="33">
        <v>1.0688430070877075</v>
      </c>
      <c r="O15" s="29">
        <f t="shared" si="0"/>
        <v>-0.34018521547969466</v>
      </c>
      <c r="P15" s="29">
        <f t="shared" si="1"/>
        <v>-5.1397748942224597E-2</v>
      </c>
    </row>
    <row r="16" spans="1:17" ht="18" customHeight="1" x14ac:dyDescent="0.2">
      <c r="A16" s="195"/>
      <c r="B16" s="37" t="s">
        <v>63</v>
      </c>
      <c r="C16" s="33"/>
      <c r="D16" s="33">
        <f ca="1">4.10983935546875*OFFSET(D$112,MATCH($N$1,$C$112:$C$113,0)-1,0)</f>
        <v>4.1098393554687496</v>
      </c>
      <c r="E16" s="33">
        <f ca="1">3.953162109375*OFFSET(E$112,MATCH($N$1,$C$112:$C$113,0)-1,0)</f>
        <v>3.953162109375</v>
      </c>
      <c r="F16" s="33">
        <f ca="1">3.94539379882813*OFFSET(F$112,MATCH($N$1,$C$112:$C$113,0)-1,0)</f>
        <v>3.94539379882813</v>
      </c>
      <c r="G16" s="33">
        <f ca="1">3.57507568359375*OFFSET(G$112,MATCH($N$1,$C$112:$C$113,0)-1,0)</f>
        <v>3.5750756835937501</v>
      </c>
      <c r="H16" s="33">
        <f ca="1">3.6169853515625*OFFSET(H$112,MATCH($N$1,$C$112:$C$113,0)-1,0)</f>
        <v>3.6169853515625001</v>
      </c>
      <c r="I16" s="33">
        <f ca="1">3.74518188476562*OFFSET(I$112,MATCH($N$1,$C$112:$C$113,0)-1,0)</f>
        <v>3.74518188476562</v>
      </c>
      <c r="J16" s="33">
        <f ca="1">3.60547607421875*OFFSET(J$112,MATCH($N$1,$C$112:$C$113,0)-1,0)</f>
        <v>3.6054760742187502</v>
      </c>
      <c r="K16" s="33">
        <f ca="1">3.64244458007812*OFFSET(K$112,MATCH($N$1,$C$112:$C$113,0)-1,0)</f>
        <v>3.64244458007812</v>
      </c>
      <c r="L16" s="33">
        <f ca="1">3.44331103515625*OFFSET(L$112,MATCH($N$1,$C$112:$C$113,0)-1,0)</f>
        <v>3.4433110351562499</v>
      </c>
      <c r="M16" s="33">
        <f ca="1">3.36724951171875*OFFSET(M$112,MATCH($N$1,$C$112:$C$113,0)-1,0)</f>
        <v>3.3672495117187502</v>
      </c>
      <c r="N16" s="33">
        <v>3.5929731445312503</v>
      </c>
      <c r="O16" s="29">
        <f t="shared" ca="1" si="0"/>
        <v>-0.12576311778457527</v>
      </c>
      <c r="P16" s="29">
        <f t="shared" ca="1" si="1"/>
        <v>-3.4677611028688005E-3</v>
      </c>
    </row>
    <row r="17" spans="1:16" ht="18" customHeight="1" x14ac:dyDescent="0.2">
      <c r="A17" s="195"/>
      <c r="B17" s="37" t="s">
        <v>60</v>
      </c>
      <c r="C17" s="31"/>
      <c r="D17" s="31">
        <v>24.594720840454102</v>
      </c>
      <c r="E17" s="31">
        <v>23.43156623840332</v>
      </c>
      <c r="F17" s="31">
        <v>25.244192123413086</v>
      </c>
      <c r="G17" s="31">
        <v>27.532064437866211</v>
      </c>
      <c r="H17" s="31">
        <v>29.752969741821289</v>
      </c>
      <c r="I17" s="31">
        <v>25.194494247436523</v>
      </c>
      <c r="J17" s="31">
        <v>18.495689392089844</v>
      </c>
      <c r="K17" s="31">
        <v>18.849475860595703</v>
      </c>
      <c r="L17" s="31">
        <v>18.132125854492188</v>
      </c>
      <c r="M17" s="31">
        <v>17.898666381835938</v>
      </c>
      <c r="N17" s="31">
        <v>16.984455108642578</v>
      </c>
      <c r="O17" s="29">
        <f t="shared" si="0"/>
        <v>-0.30942679858735944</v>
      </c>
      <c r="P17" s="29">
        <f t="shared" si="1"/>
        <v>-8.1707377941456119E-2</v>
      </c>
    </row>
    <row r="18" spans="1:16" ht="18" customHeight="1" x14ac:dyDescent="0.2">
      <c r="A18" s="195"/>
      <c r="B18" s="37" t="s">
        <v>64</v>
      </c>
      <c r="C18" s="31"/>
      <c r="D18" s="31">
        <v>24.819313049316406</v>
      </c>
      <c r="E18" s="31">
        <v>24.989360809326172</v>
      </c>
      <c r="F18" s="31">
        <v>25.495479583740234</v>
      </c>
      <c r="G18" s="31">
        <v>25.917041778564453</v>
      </c>
      <c r="H18" s="31">
        <v>26.276840209960938</v>
      </c>
      <c r="I18" s="31">
        <v>26.598907470703125</v>
      </c>
      <c r="J18" s="31">
        <v>27.72602653503418</v>
      </c>
      <c r="K18" s="31">
        <v>28.283918380737305</v>
      </c>
      <c r="L18" s="31">
        <v>29.170478820800781</v>
      </c>
      <c r="M18" s="31">
        <v>29.02299690246582</v>
      </c>
      <c r="N18" s="31">
        <v>30.259346008300781</v>
      </c>
      <c r="O18" s="29">
        <f t="shared" si="0"/>
        <v>0.21918547657523538</v>
      </c>
      <c r="P18" s="29">
        <f t="shared" si="1"/>
        <v>9.1369726926631131E-2</v>
      </c>
    </row>
    <row r="19" spans="1:16" ht="18" customHeight="1" x14ac:dyDescent="0.2">
      <c r="A19" s="195"/>
      <c r="B19" s="37" t="s">
        <v>65</v>
      </c>
      <c r="C19" s="38"/>
      <c r="D19" s="38">
        <v>6.5864287316799164E-2</v>
      </c>
      <c r="E19" s="38">
        <v>5.7389549911022186E-2</v>
      </c>
      <c r="F19" s="38">
        <v>5.5037196725606918E-2</v>
      </c>
      <c r="G19" s="38">
        <v>5.122726783156395E-2</v>
      </c>
      <c r="H19" s="38">
        <v>4.5534756034612656E-2</v>
      </c>
      <c r="I19" s="38">
        <v>5.1815137267112732E-2</v>
      </c>
      <c r="J19" s="38">
        <v>6.0919910669326782E-2</v>
      </c>
      <c r="K19" s="38">
        <v>5.9683084487915039E-2</v>
      </c>
      <c r="L19" s="38">
        <v>5.8594081550836563E-2</v>
      </c>
      <c r="M19" s="38">
        <v>6.2975287437438965E-2</v>
      </c>
      <c r="N19" s="38">
        <v>6.2930665910243988E-2</v>
      </c>
      <c r="O19" s="29">
        <f t="shared" si="0"/>
        <v>-4.4540395502115061E-2</v>
      </c>
      <c r="P19" s="29">
        <f t="shared" si="1"/>
        <v>3.3006536267454221E-2</v>
      </c>
    </row>
    <row r="20" spans="1:16" ht="18" customHeight="1" x14ac:dyDescent="0.2">
      <c r="A20" s="196"/>
      <c r="B20" s="39" t="s">
        <v>28</v>
      </c>
      <c r="C20" s="40"/>
      <c r="D20" s="40">
        <f ca="1">2537*OFFSET(D$112,MATCH($N$1,$C$112:$C$113,0)-1,0)</f>
        <v>2537</v>
      </c>
      <c r="E20" s="40">
        <f ca="1">2940*OFFSET(E$112,MATCH($N$1,$C$112:$C$113,0)-1,0)</f>
        <v>2940</v>
      </c>
      <c r="F20" s="40">
        <f ca="1">2840*OFFSET(F$112,MATCH($N$1,$C$112:$C$113,0)-1,0)</f>
        <v>2840</v>
      </c>
      <c r="G20" s="40">
        <f ca="1">2535*OFFSET(G$112,MATCH($N$1,$C$112:$C$113,0)-1,0)</f>
        <v>2535</v>
      </c>
      <c r="H20" s="40">
        <f ca="1">2670*OFFSET(H$112,MATCH($N$1,$C$112:$C$113,0)-1,0)</f>
        <v>2670</v>
      </c>
      <c r="I20" s="40">
        <f ca="1">2869*OFFSET(I$112,MATCH($N$1,$C$112:$C$113,0)-1,0)</f>
        <v>2869</v>
      </c>
      <c r="J20" s="40">
        <f ca="1">3200*OFFSET(J$112,MATCH($N$1,$C$112:$C$113,0)-1,0)</f>
        <v>3200</v>
      </c>
      <c r="K20" s="40">
        <f ca="1">3238*OFFSET(K$112,MATCH($N$1,$C$112:$C$113,0)-1,0)</f>
        <v>3238</v>
      </c>
      <c r="L20" s="40">
        <f ca="1">3241*OFFSET(L$112,MATCH($N$1,$C$112:$C$113,0)-1,0)</f>
        <v>3241</v>
      </c>
      <c r="M20" s="40">
        <f ca="1">2987*OFFSET(M$112,MATCH($N$1,$C$112:$C$113,0)-1,0)</f>
        <v>2987</v>
      </c>
      <c r="N20" s="40">
        <v>3362</v>
      </c>
      <c r="O20" s="34">
        <f t="shared" ca="1" si="0"/>
        <v>0.32518722901064251</v>
      </c>
      <c r="P20" s="34">
        <f t="shared" ca="1" si="1"/>
        <v>5.0625000000000003E-2</v>
      </c>
    </row>
    <row r="21" spans="1:16" ht="18" customHeight="1" x14ac:dyDescent="0.2">
      <c r="A21" s="197" t="s">
        <v>29</v>
      </c>
      <c r="B21" s="35" t="s">
        <v>66</v>
      </c>
      <c r="C21" s="41"/>
      <c r="D21" s="41">
        <v>2.0288179722484694</v>
      </c>
      <c r="E21" s="41">
        <v>1.6885873937170193</v>
      </c>
      <c r="F21" s="41">
        <v>1.5783058401426224</v>
      </c>
      <c r="G21" s="41">
        <v>1.4114384911024449</v>
      </c>
      <c r="H21" s="41">
        <v>1.2766409891640842</v>
      </c>
      <c r="I21" s="41">
        <v>1.4874768848697868</v>
      </c>
      <c r="J21" s="41">
        <v>1.7271306304017957</v>
      </c>
      <c r="K21" s="41">
        <v>1.6990092584650811</v>
      </c>
      <c r="L21" s="41">
        <v>1.6141642878633284</v>
      </c>
      <c r="M21" s="41">
        <v>1.7048441353444541</v>
      </c>
      <c r="N21" s="41">
        <v>1.7970080002837339</v>
      </c>
      <c r="O21" s="29">
        <f t="shared" si="0"/>
        <v>-0.11425863489755489</v>
      </c>
      <c r="P21" s="29">
        <f t="shared" si="1"/>
        <v>4.0458647801111629E-2</v>
      </c>
    </row>
    <row r="22" spans="1:16" ht="18" customHeight="1" x14ac:dyDescent="0.2">
      <c r="A22" s="197"/>
      <c r="B22" s="37" t="s">
        <v>67</v>
      </c>
      <c r="C22" s="38"/>
      <c r="D22" s="38">
        <f ca="1">5.14725936426207*OFFSET(D$112,MATCH($N$1,$C$112:$C$113,0)-1,0)</f>
        <v>5.1472593642620703</v>
      </c>
      <c r="E22" s="38">
        <f ca="1">4.96402578957643*OFFSET(E$112,MATCH($N$1,$C$112:$C$113,0)-1,0)</f>
        <v>4.9640257895764304</v>
      </c>
      <c r="F22" s="38">
        <f ca="1">4.48191614607528*OFFSET(F$112,MATCH($N$1,$C$112:$C$113,0)-1,0)</f>
        <v>4.4819161460752799</v>
      </c>
      <c r="G22" s="38">
        <f ca="1">3.5777273158445*OFFSET(G$112,MATCH($N$1,$C$112:$C$113,0)-1,0)</f>
        <v>3.5777273158445002</v>
      </c>
      <c r="H22" s="38">
        <f ca="1">3.40833429861424*OFFSET(H$112,MATCH($N$1,$C$112:$C$113,0)-1,0)</f>
        <v>3.40833429861424</v>
      </c>
      <c r="I22" s="38">
        <f ca="1">4.26737537997832*OFFSET(I$112,MATCH($N$1,$C$112:$C$113,0)-1,0)</f>
        <v>4.2673753799783203</v>
      </c>
      <c r="J22" s="38">
        <f ca="1">5.52660002988205*OFFSET(J$112,MATCH($N$1,$C$112:$C$113,0)-1,0)</f>
        <v>5.5266000298820499</v>
      </c>
      <c r="K22" s="38">
        <f ca="1">5.50095578924004*OFFSET(K$112,MATCH($N$1,$C$112:$C$113,0)-1,0)</f>
        <v>5.5009557892400398</v>
      </c>
      <c r="L22" s="38">
        <f ca="1">5.23144314319042*OFFSET(L$112,MATCH($N$1,$C$112:$C$113,0)-1,0)</f>
        <v>5.23144314319042</v>
      </c>
      <c r="M22" s="38">
        <f ca="1">5.09294687667177*OFFSET(M$112,MATCH($N$1,$C$112:$C$113,0)-1,0)</f>
        <v>5.0929468766717703</v>
      </c>
      <c r="N22" s="38">
        <v>6.0407388575424745</v>
      </c>
      <c r="O22" s="29">
        <f t="shared" ca="1" si="0"/>
        <v>0.17358353835517218</v>
      </c>
      <c r="P22" s="29">
        <f t="shared" ca="1" si="1"/>
        <v>9.30298601093804E-2</v>
      </c>
    </row>
    <row r="23" spans="1:16" ht="18" customHeight="1" x14ac:dyDescent="0.2">
      <c r="A23" s="197"/>
      <c r="B23" s="37" t="s">
        <v>11</v>
      </c>
      <c r="C23" s="38"/>
      <c r="D23" s="38">
        <f ca="1">4.30727014868019*OFFSET(D$112,MATCH($N$1,$C$112:$C$113,0)-1,0)</f>
        <v>4.3072701486801899</v>
      </c>
      <c r="E23" s="38">
        <f ca="1">4.91241007826958*OFFSET(E$112,MATCH($N$1,$C$112:$C$113,0)-1,0)</f>
        <v>4.9124100782695796</v>
      </c>
      <c r="F23" s="38">
        <f ca="1">5.09064279096494*OFFSET(F$112,MATCH($N$1,$C$112:$C$113,0)-1,0)</f>
        <v>5.0906427909649397</v>
      </c>
      <c r="G23" s="38">
        <f ca="1">3.94789412099067*OFFSET(G$112,MATCH($N$1,$C$112:$C$113,0)-1,0)</f>
        <v>3.9478941209906702</v>
      </c>
      <c r="H23" s="38">
        <f ca="1">4.16073791996477*OFFSET(H$112,MATCH($N$1,$C$112:$C$113,0)-1,0)</f>
        <v>4.1607379199647703</v>
      </c>
      <c r="I23" s="38">
        <f ca="1">4.2485278991537*OFFSET(I$112,MATCH($N$1,$C$112:$C$113,0)-1,0)</f>
        <v>4.2485278991537001</v>
      </c>
      <c r="J23" s="38">
        <f ca="1">4.81939416154887*OFFSET(J$112,MATCH($N$1,$C$112:$C$113,0)-1,0)</f>
        <v>4.8193941615488702</v>
      </c>
      <c r="K23" s="38">
        <f ca="1">5.53512728247798*OFFSET(K$112,MATCH($N$1,$C$112:$C$113,0)-1,0)</f>
        <v>5.5351272824779798</v>
      </c>
      <c r="L23" s="38">
        <f ca="1">6.47574164231008*OFFSET(L$112,MATCH($N$1,$C$112:$C$113,0)-1,0)</f>
        <v>6.47574164231008</v>
      </c>
      <c r="M23" s="38">
        <f ca="1">6.8905450621213*OFFSET(M$112,MATCH($N$1,$C$112:$C$113,0)-1,0)</f>
        <v>6.8905450621212996</v>
      </c>
      <c r="N23" s="38">
        <v>8.9633040175802172</v>
      </c>
      <c r="O23" s="29">
        <f t="shared" ca="1" si="0"/>
        <v>1.0809709417289983</v>
      </c>
      <c r="P23" s="29">
        <f t="shared" ca="1" si="1"/>
        <v>0.85984041087429253</v>
      </c>
    </row>
    <row r="24" spans="1:16" ht="18" customHeight="1" x14ac:dyDescent="0.2">
      <c r="A24" s="197"/>
      <c r="B24" s="37" t="s">
        <v>12</v>
      </c>
      <c r="C24" s="38"/>
      <c r="D24" s="38">
        <f ca="1">0.958852262109672*OFFSET(D$112,MATCH($N$1,$C$112:$C$113,0)-1,0)</f>
        <v>0.958852262109672</v>
      </c>
      <c r="E24" s="38">
        <f ca="1">1.09214118124586*OFFSET(E$112,MATCH($N$1,$C$112:$C$113,0)-1,0)</f>
        <v>1.0921411812458599</v>
      </c>
      <c r="F24" s="38">
        <f ca="1">0.0359335088956991*OFFSET(F$112,MATCH($N$1,$C$112:$C$113,0)-1,0)</f>
        <v>3.5933508895699101E-2</v>
      </c>
      <c r="G24" s="38">
        <f ca="1">0.7195483078065*OFFSET(G$112,MATCH($N$1,$C$112:$C$113,0)-1,0)</f>
        <v>0.71954830780650003</v>
      </c>
      <c r="H24" s="38">
        <f ca="1">-0.534892402907599*OFFSET(H$112,MATCH($N$1,$C$112:$C$113,0)-1,0)</f>
        <v>-0.53489240290759898</v>
      </c>
      <c r="I24" s="38">
        <f ca="1">0.781465473176017*OFFSET(I$112,MATCH($N$1,$C$112:$C$113,0)-1,0)</f>
        <v>0.781465473176017</v>
      </c>
      <c r="J24" s="38">
        <f ca="1">1.86284644209473*OFFSET(J$112,MATCH($N$1,$C$112:$C$113,0)-1,0)</f>
        <v>1.8628464420947299</v>
      </c>
      <c r="K24" s="38">
        <f ca="1">0.281993798108627*OFFSET(K$112,MATCH($N$1,$C$112:$C$113,0)-1,0)</f>
        <v>0.28199379810862701</v>
      </c>
      <c r="L24" s="38">
        <f ca="1">-0.3071635871757*OFFSET(L$112,MATCH($N$1,$C$112:$C$113,0)-1,0)</f>
        <v>-0.30716358717570003</v>
      </c>
      <c r="M24" s="38">
        <f ca="1">0.732078106169112*OFFSET(M$112,MATCH($N$1,$C$112:$C$113,0)-1,0)</f>
        <v>0.73207810616911195</v>
      </c>
      <c r="N24" s="38">
        <v>-0.78893848104344311</v>
      </c>
      <c r="O24" s="29">
        <f t="shared" ca="1" si="0"/>
        <v>-1.8227946183363186</v>
      </c>
      <c r="P24" s="29">
        <f t="shared" ca="1" si="1"/>
        <v>-1.4235123535766583</v>
      </c>
    </row>
    <row r="25" spans="1:16" ht="18" customHeight="1" x14ac:dyDescent="0.2">
      <c r="A25" s="197"/>
      <c r="B25" s="37" t="s">
        <v>68</v>
      </c>
      <c r="C25" s="33"/>
      <c r="D25" s="33">
        <f ca="1">23.32*OFFSET(D$112,MATCH($N$1,$C$112:$C$113,0)-1,0)</f>
        <v>23.32</v>
      </c>
      <c r="E25" s="33">
        <f ca="1">39.14*OFFSET(E$112,MATCH($N$1,$C$112:$C$113,0)-1,0)</f>
        <v>39.14</v>
      </c>
      <c r="F25" s="33">
        <f ca="1">31.16*OFFSET(F$112,MATCH($N$1,$C$112:$C$113,0)-1,0)</f>
        <v>31.16</v>
      </c>
      <c r="G25" s="33">
        <f ca="1">29.38*OFFSET(G$112,MATCH($N$1,$C$112:$C$113,0)-1,0)</f>
        <v>29.38</v>
      </c>
      <c r="H25" s="33">
        <f ca="1">29.45*OFFSET(H$112,MATCH($N$1,$C$112:$C$113,0)-1,0)</f>
        <v>29.45</v>
      </c>
      <c r="I25" s="33">
        <f ca="1">33.78*OFFSET(I$112,MATCH($N$1,$C$112:$C$113,0)-1,0)</f>
        <v>33.78</v>
      </c>
      <c r="J25" s="33">
        <f ca="1">43.2*OFFSET(J$112,MATCH($N$1,$C$112:$C$113,0)-1,0)</f>
        <v>43.2</v>
      </c>
      <c r="K25" s="33">
        <f ca="1">43.04*OFFSET(K$112,MATCH($N$1,$C$112:$C$113,0)-1,0)</f>
        <v>43.04</v>
      </c>
      <c r="L25" s="33">
        <f ca="1">55.77*OFFSET(L$112,MATCH($N$1,$C$112:$C$113,0)-1,0)</f>
        <v>55.77</v>
      </c>
      <c r="M25" s="33">
        <f ca="1">51.74*OFFSET(M$112,MATCH($N$1,$C$112:$C$113,0)-1,0)</f>
        <v>51.74</v>
      </c>
      <c r="N25" s="33">
        <v>57.85</v>
      </c>
      <c r="O25" s="29">
        <f t="shared" ca="1" si="0"/>
        <v>1.4807032590051459</v>
      </c>
      <c r="P25" s="29">
        <f t="shared" ca="1" si="1"/>
        <v>0.33912037037037029</v>
      </c>
    </row>
    <row r="26" spans="1:16" ht="18" customHeight="1" x14ac:dyDescent="0.2">
      <c r="A26" s="198"/>
      <c r="B26" s="37" t="s">
        <v>69</v>
      </c>
      <c r="C26" s="33"/>
      <c r="D26" s="33">
        <f ca="1">4.55*OFFSET(D$112,MATCH($N$1,$C$112:$C$113,0)-1,0)</f>
        <v>4.55</v>
      </c>
      <c r="E26" s="33">
        <f ca="1">8.81*OFFSET(E$112,MATCH($N$1,$C$112:$C$113,0)-1,0)</f>
        <v>8.81</v>
      </c>
      <c r="F26" s="33"/>
      <c r="G26" s="33">
        <f ca="1">5.71*OFFSET(G$112,MATCH($N$1,$C$112:$C$113,0)-1,0)</f>
        <v>5.71</v>
      </c>
      <c r="H26" s="33">
        <f ca="1">-4.91*OFFSET(H$112,MATCH($N$1,$C$112:$C$113,0)-1,0)</f>
        <v>-4.91</v>
      </c>
      <c r="I26" s="33">
        <f ca="1">6.39*OFFSET(I$112,MATCH($N$1,$C$112:$C$113,0)-1,0)</f>
        <v>6.39</v>
      </c>
      <c r="J26" s="33">
        <f ca="1">14.4*OFFSET(J$112,MATCH($N$1,$C$112:$C$113,0)-1,0)</f>
        <v>14.4</v>
      </c>
      <c r="K26" s="33">
        <f ca="1">2.39*OFFSET(K$112,MATCH($N$1,$C$112:$C$113,0)-1,0)</f>
        <v>2.39</v>
      </c>
      <c r="L26" s="33">
        <f ca="1">-3.28*OFFSET(L$112,MATCH($N$1,$C$112:$C$113,0)-1,0)</f>
        <v>-3.28</v>
      </c>
      <c r="M26" s="33">
        <f ca="1">7.61*OFFSET(M$112,MATCH($N$1,$C$112:$C$113,0)-1,0)</f>
        <v>7.61</v>
      </c>
      <c r="N26" s="33">
        <v>-8.0299999999999994</v>
      </c>
      <c r="O26" s="34">
        <f t="shared" ca="1" si="0"/>
        <v>-2.7648351648351648</v>
      </c>
      <c r="P26" s="34">
        <f t="shared" ca="1" si="1"/>
        <v>-1.5576388888888888</v>
      </c>
    </row>
    <row r="27" spans="1:16" ht="18" customHeight="1" x14ac:dyDescent="0.2">
      <c r="A27" s="187" t="s">
        <v>30</v>
      </c>
      <c r="B27" s="35" t="s">
        <v>63</v>
      </c>
      <c r="C27" s="36"/>
      <c r="D27" s="36">
        <f ca="1">4.1*OFFSET(D$112,MATCH($N$1,$C$112:$C$113,0)-1,0)</f>
        <v>4.0999999999999996</v>
      </c>
      <c r="E27" s="36">
        <f ca="1">4*OFFSET(E$112,MATCH($N$1,$C$112:$C$113,0)-1,0)</f>
        <v>4</v>
      </c>
      <c r="F27" s="36">
        <f ca="1">3.9*OFFSET(F$112,MATCH($N$1,$C$112:$C$113,0)-1,0)</f>
        <v>3.9</v>
      </c>
      <c r="G27" s="36">
        <f ca="1">3.6*OFFSET(G$112,MATCH($N$1,$C$112:$C$113,0)-1,0)</f>
        <v>3.6</v>
      </c>
      <c r="H27" s="36">
        <f ca="1">3.6*OFFSET(H$112,MATCH($N$1,$C$112:$C$113,0)-1,0)</f>
        <v>3.6</v>
      </c>
      <c r="I27" s="36">
        <f ca="1">3.7*OFFSET(I$112,MATCH($N$1,$C$112:$C$113,0)-1,0)</f>
        <v>3.7</v>
      </c>
      <c r="J27" s="36">
        <f ca="1">3.6*OFFSET(J$112,MATCH($N$1,$C$112:$C$113,0)-1,0)</f>
        <v>3.6</v>
      </c>
      <c r="K27" s="36">
        <f ca="1">3.6*OFFSET(K$112,MATCH($N$1,$C$112:$C$113,0)-1,0)</f>
        <v>3.6</v>
      </c>
      <c r="L27" s="36">
        <f ca="1">3.4*OFFSET(L$112,MATCH($N$1,$C$112:$C$113,0)-1,0)</f>
        <v>3.4</v>
      </c>
      <c r="M27" s="36">
        <f ca="1">3.4*OFFSET(M$112,MATCH($N$1,$C$112:$C$113,0)-1,0)</f>
        <v>3.4</v>
      </c>
      <c r="N27" s="36">
        <v>3.6</v>
      </c>
      <c r="O27" s="29">
        <f t="shared" ca="1" si="0"/>
        <v>-0.12195121951219502</v>
      </c>
      <c r="P27" s="29">
        <f t="shared" ca="1" si="1"/>
        <v>0</v>
      </c>
    </row>
    <row r="28" spans="1:16" ht="18" customHeight="1" x14ac:dyDescent="0.2">
      <c r="A28" s="199"/>
      <c r="B28" s="37" t="s">
        <v>70</v>
      </c>
      <c r="C28" s="33"/>
      <c r="D28" s="33">
        <f ca="1">0.1*OFFSET(D$112,MATCH($N$1,$C$112:$C$113,0)-1,0)</f>
        <v>0.1</v>
      </c>
      <c r="E28" s="33">
        <f ca="1">0.8*OFFSET(E$112,MATCH($N$1,$C$112:$C$113,0)-1,0)</f>
        <v>0.8</v>
      </c>
      <c r="F28" s="33">
        <f ca="1">0.6*OFFSET(F$112,MATCH($N$1,$C$112:$C$113,0)-1,0)</f>
        <v>0.6</v>
      </c>
      <c r="G28" s="33">
        <f ca="1">1.1*OFFSET(G$112,MATCH($N$1,$C$112:$C$113,0)-1,0)</f>
        <v>1.1000000000000001</v>
      </c>
      <c r="H28" s="33">
        <f ca="1">0.2*OFFSET(H$112,MATCH($N$1,$C$112:$C$113,0)-1,0)</f>
        <v>0.2</v>
      </c>
      <c r="I28" s="33">
        <f ca="1">0.7*OFFSET(I$112,MATCH($N$1,$C$112:$C$113,0)-1,0)</f>
        <v>0.7</v>
      </c>
      <c r="J28" s="33">
        <f ca="1">0.8*OFFSET(J$112,MATCH($N$1,$C$112:$C$113,0)-1,0)</f>
        <v>0.8</v>
      </c>
      <c r="K28" s="33">
        <f ca="1">0.2*OFFSET(K$112,MATCH($N$1,$C$112:$C$113,0)-1,0)</f>
        <v>0.2</v>
      </c>
      <c r="L28" s="33">
        <f ca="1">0.6*OFFSET(L$112,MATCH($N$1,$C$112:$C$113,0)-1,0)</f>
        <v>0.6</v>
      </c>
      <c r="M28" s="33">
        <f ca="1">1.7*OFFSET(M$112,MATCH($N$1,$C$112:$C$113,0)-1,0)</f>
        <v>1.7</v>
      </c>
      <c r="N28" s="33">
        <v>1.3</v>
      </c>
      <c r="O28" s="29">
        <f t="shared" ca="1" si="0"/>
        <v>11.999999999999998</v>
      </c>
      <c r="P28" s="29">
        <f t="shared" ca="1" si="1"/>
        <v>0.625</v>
      </c>
    </row>
    <row r="29" spans="1:16" ht="18" customHeight="1" x14ac:dyDescent="0.2">
      <c r="A29" s="199"/>
      <c r="B29" s="42" t="s">
        <v>71</v>
      </c>
      <c r="C29" s="43"/>
      <c r="D29" s="43">
        <f ca="1">4.2*OFFSET(D$112,MATCH($N$1,$C$112:$C$113,0)-1,0)</f>
        <v>4.2</v>
      </c>
      <c r="E29" s="43">
        <f ca="1">4.8*OFFSET(E$112,MATCH($N$1,$C$112:$C$113,0)-1,0)</f>
        <v>4.8</v>
      </c>
      <c r="F29" s="43">
        <f ca="1">4.5*OFFSET(F$112,MATCH($N$1,$C$112:$C$113,0)-1,0)</f>
        <v>4.5</v>
      </c>
      <c r="G29" s="43">
        <f ca="1">4.7*OFFSET(G$112,MATCH($N$1,$C$112:$C$113,0)-1,0)</f>
        <v>4.7</v>
      </c>
      <c r="H29" s="43">
        <f ca="1">3.8*OFFSET(H$112,MATCH($N$1,$C$112:$C$113,0)-1,0)</f>
        <v>3.8</v>
      </c>
      <c r="I29" s="43">
        <f ca="1">4.4*OFFSET(I$112,MATCH($N$1,$C$112:$C$113,0)-1,0)</f>
        <v>4.4000000000000004</v>
      </c>
      <c r="J29" s="43">
        <f ca="1">4.4*OFFSET(J$112,MATCH($N$1,$C$112:$C$113,0)-1,0)</f>
        <v>4.4000000000000004</v>
      </c>
      <c r="K29" s="43">
        <f ca="1">3.9*OFFSET(K$112,MATCH($N$1,$C$112:$C$113,0)-1,0)</f>
        <v>3.9</v>
      </c>
      <c r="L29" s="43">
        <f ca="1">4.1*OFFSET(L$112,MATCH($N$1,$C$112:$C$113,0)-1,0)</f>
        <v>4.0999999999999996</v>
      </c>
      <c r="M29" s="43">
        <f ca="1">5*OFFSET(M$112,MATCH($N$1,$C$112:$C$113,0)-1,0)</f>
        <v>5</v>
      </c>
      <c r="N29" s="43">
        <v>4.9000000000000004</v>
      </c>
      <c r="O29" s="29">
        <f t="shared" ca="1" si="0"/>
        <v>0.16666666666666671</v>
      </c>
      <c r="P29" s="29">
        <f t="shared" ca="1" si="1"/>
        <v>0.11363636363636363</v>
      </c>
    </row>
    <row r="30" spans="1:16" ht="18" customHeight="1" x14ac:dyDescent="0.2">
      <c r="A30" s="199"/>
      <c r="B30" s="37" t="s">
        <v>72</v>
      </c>
      <c r="C30" s="33"/>
      <c r="D30" s="33">
        <f ca="1">0.9*OFFSET(D$112,MATCH($N$1,$C$112:$C$113,0)-1,0)</f>
        <v>0.9</v>
      </c>
      <c r="E30" s="33">
        <f ca="1">0.9*OFFSET(E$112,MATCH($N$1,$C$112:$C$113,0)-1,0)</f>
        <v>0.9</v>
      </c>
      <c r="F30" s="33">
        <f ca="1">0.9*OFFSET(F$112,MATCH($N$1,$C$112:$C$113,0)-1,0)</f>
        <v>0.9</v>
      </c>
      <c r="G30" s="33">
        <f ca="1">0.9*OFFSET(G$112,MATCH($N$1,$C$112:$C$113,0)-1,0)</f>
        <v>0.9</v>
      </c>
      <c r="H30" s="33">
        <f ca="1">0.7*OFFSET(H$112,MATCH($N$1,$C$112:$C$113,0)-1,0)</f>
        <v>0.7</v>
      </c>
      <c r="I30" s="33">
        <f ca="1">0.5*OFFSET(I$112,MATCH($N$1,$C$112:$C$113,0)-1,0)</f>
        <v>0.5</v>
      </c>
      <c r="J30" s="33">
        <f ca="1">0.5*OFFSET(J$112,MATCH($N$1,$C$112:$C$113,0)-1,0)</f>
        <v>0.5</v>
      </c>
      <c r="K30" s="33">
        <f ca="1">0.6*OFFSET(K$112,MATCH($N$1,$C$112:$C$113,0)-1,0)</f>
        <v>0.6</v>
      </c>
      <c r="L30" s="33">
        <f ca="1">0.6*OFFSET(L$112,MATCH($N$1,$C$112:$C$113,0)-1,0)</f>
        <v>0.6</v>
      </c>
      <c r="M30" s="33">
        <f ca="1">0.4*OFFSET(M$112,MATCH($N$1,$C$112:$C$113,0)-1,0)</f>
        <v>0.4</v>
      </c>
      <c r="N30" s="33">
        <v>0.5</v>
      </c>
      <c r="O30" s="29">
        <f t="shared" ca="1" si="0"/>
        <v>-0.44444444444444448</v>
      </c>
      <c r="P30" s="29">
        <f t="shared" ca="1" si="1"/>
        <v>0</v>
      </c>
    </row>
    <row r="31" spans="1:16" ht="18" customHeight="1" x14ac:dyDescent="0.2">
      <c r="A31" s="199"/>
      <c r="B31" s="37" t="s">
        <v>73</v>
      </c>
      <c r="C31" s="33"/>
      <c r="D31" s="33">
        <f ca="1">0.6*OFFSET(D$112,MATCH($N$1,$C$112:$C$113,0)-1,0)</f>
        <v>0.6</v>
      </c>
      <c r="E31" s="33">
        <f ca="1">1.1*OFFSET(E$112,MATCH($N$1,$C$112:$C$113,0)-1,0)</f>
        <v>1.1000000000000001</v>
      </c>
      <c r="F31" s="33">
        <f ca="1">1.2*OFFSET(F$112,MATCH($N$1,$C$112:$C$113,0)-1,0)</f>
        <v>1.2</v>
      </c>
      <c r="G31" s="33">
        <f ca="1">0.8*OFFSET(G$112,MATCH($N$1,$C$112:$C$113,0)-1,0)</f>
        <v>0.8</v>
      </c>
      <c r="H31" s="33">
        <f ca="1">1.4*OFFSET(H$112,MATCH($N$1,$C$112:$C$113,0)-1,0)</f>
        <v>1.4</v>
      </c>
      <c r="I31" s="33">
        <f ca="1">1.3*OFFSET(I$112,MATCH($N$1,$C$112:$C$113,0)-1,0)</f>
        <v>1.3</v>
      </c>
      <c r="J31" s="33">
        <f ca="1">0.6*OFFSET(J$112,MATCH($N$1,$C$112:$C$113,0)-1,0)</f>
        <v>0.6</v>
      </c>
      <c r="K31" s="33">
        <f ca="1">1.1*OFFSET(K$112,MATCH($N$1,$C$112:$C$113,0)-1,0)</f>
        <v>1.1000000000000001</v>
      </c>
      <c r="L31" s="33">
        <f ca="1">1.3*OFFSET(L$112,MATCH($N$1,$C$112:$C$113,0)-1,0)</f>
        <v>1.3</v>
      </c>
      <c r="M31" s="33">
        <f ca="1">1.6*OFFSET(M$112,MATCH($N$1,$C$112:$C$113,0)-1,0)</f>
        <v>1.6</v>
      </c>
      <c r="N31" s="33">
        <v>1.7</v>
      </c>
      <c r="O31" s="29">
        <f t="shared" ca="1" si="0"/>
        <v>1.8333333333333335</v>
      </c>
      <c r="P31" s="29">
        <f t="shared" ca="1" si="1"/>
        <v>1.8333333333333335</v>
      </c>
    </row>
    <row r="32" spans="1:16" ht="18" customHeight="1" x14ac:dyDescent="0.2">
      <c r="A32" s="199"/>
      <c r="B32" s="37" t="s">
        <v>74</v>
      </c>
      <c r="C32" s="33"/>
      <c r="D32" s="33">
        <f ca="1">0.6*OFFSET(D$112,MATCH($N$1,$C$112:$C$113,0)-1,0)</f>
        <v>0.6</v>
      </c>
      <c r="E32" s="33">
        <f ca="1">0.7*OFFSET(E$112,MATCH($N$1,$C$112:$C$113,0)-1,0)</f>
        <v>0.7</v>
      </c>
      <c r="F32" s="33">
        <f ca="1">0.9*OFFSET(F$112,MATCH($N$1,$C$112:$C$113,0)-1,0)</f>
        <v>0.9</v>
      </c>
      <c r="G32" s="33">
        <f ca="1">1*OFFSET(G$112,MATCH($N$1,$C$112:$C$113,0)-1,0)</f>
        <v>1</v>
      </c>
      <c r="H32" s="33">
        <f ca="1">0.9*OFFSET(H$112,MATCH($N$1,$C$112:$C$113,0)-1,0)</f>
        <v>0.9</v>
      </c>
      <c r="I32" s="33">
        <f ca="1">0.8*OFFSET(I$112,MATCH($N$1,$C$112:$C$113,0)-1,0)</f>
        <v>0.8</v>
      </c>
      <c r="J32" s="33">
        <f ca="1">0.9*OFFSET(J$112,MATCH($N$1,$C$112:$C$113,0)-1,0)</f>
        <v>0.9</v>
      </c>
      <c r="K32" s="33">
        <f ca="1">0.8*OFFSET(K$112,MATCH($N$1,$C$112:$C$113,0)-1,0)</f>
        <v>0.8</v>
      </c>
      <c r="L32" s="33">
        <f ca="1">0.8*OFFSET(L$112,MATCH($N$1,$C$112:$C$113,0)-1,0)</f>
        <v>0.8</v>
      </c>
      <c r="M32" s="33">
        <f ca="1">0.8*OFFSET(M$112,MATCH($N$1,$C$112:$C$113,0)-1,0)</f>
        <v>0.8</v>
      </c>
      <c r="N32" s="33">
        <v>0.9</v>
      </c>
      <c r="O32" s="29">
        <f t="shared" ca="1" si="0"/>
        <v>0.50000000000000011</v>
      </c>
      <c r="P32" s="29">
        <f t="shared" ca="1" si="1"/>
        <v>0</v>
      </c>
    </row>
    <row r="33" spans="1:16" ht="18" customHeight="1" x14ac:dyDescent="0.2">
      <c r="A33" s="199"/>
      <c r="B33" s="37" t="s">
        <v>75</v>
      </c>
      <c r="C33" s="33"/>
      <c r="D33" s="33">
        <f ca="1">2*OFFSET(D$112,MATCH($N$1,$C$112:$C$113,0)-1,0)</f>
        <v>2</v>
      </c>
      <c r="E33" s="33">
        <f ca="1">2.6*OFFSET(E$112,MATCH($N$1,$C$112:$C$113,0)-1,0)</f>
        <v>2.6</v>
      </c>
      <c r="F33" s="33">
        <f ca="1">3*OFFSET(F$112,MATCH($N$1,$C$112:$C$113,0)-1,0)</f>
        <v>3</v>
      </c>
      <c r="G33" s="33">
        <f ca="1">2.7*OFFSET(G$112,MATCH($N$1,$C$112:$C$113,0)-1,0)</f>
        <v>2.7</v>
      </c>
      <c r="H33" s="33">
        <f ca="1">3*OFFSET(H$112,MATCH($N$1,$C$112:$C$113,0)-1,0)</f>
        <v>3</v>
      </c>
      <c r="I33" s="33">
        <f ca="1">2.6*OFFSET(I$112,MATCH($N$1,$C$112:$C$113,0)-1,0)</f>
        <v>2.6</v>
      </c>
      <c r="J33" s="33">
        <f ca="1">2*OFFSET(J$112,MATCH($N$1,$C$112:$C$113,0)-1,0)</f>
        <v>2</v>
      </c>
      <c r="K33" s="33">
        <f ca="1">2.4*OFFSET(K$112,MATCH($N$1,$C$112:$C$113,0)-1,0)</f>
        <v>2.4</v>
      </c>
      <c r="L33" s="33">
        <f ca="1">2.7*OFFSET(L$112,MATCH($N$1,$C$112:$C$113,0)-1,0)</f>
        <v>2.7</v>
      </c>
      <c r="M33" s="33">
        <f ca="1">2.8*OFFSET(M$112,MATCH($N$1,$C$112:$C$113,0)-1,0)</f>
        <v>2.8</v>
      </c>
      <c r="N33" s="33">
        <v>3</v>
      </c>
      <c r="O33" s="29">
        <f t="shared" ca="1" si="0"/>
        <v>0.5</v>
      </c>
      <c r="P33" s="29">
        <f t="shared" ca="1" si="1"/>
        <v>0.5</v>
      </c>
    </row>
    <row r="34" spans="1:16" ht="18" customHeight="1" x14ac:dyDescent="0.2">
      <c r="A34" s="199"/>
      <c r="B34" s="37" t="s">
        <v>76</v>
      </c>
      <c r="C34" s="33"/>
      <c r="D34" s="33">
        <f ca="1">1.4*OFFSET(D$112,MATCH($N$1,$C$112:$C$113,0)-1,0)</f>
        <v>1.4</v>
      </c>
      <c r="E34" s="33">
        <f ca="1">1.3*OFFSET(E$112,MATCH($N$1,$C$112:$C$113,0)-1,0)</f>
        <v>1.3</v>
      </c>
      <c r="F34" s="33">
        <f ca="1">1.4*OFFSET(F$112,MATCH($N$1,$C$112:$C$113,0)-1,0)</f>
        <v>1.4</v>
      </c>
      <c r="G34" s="33">
        <f ca="1">1.2*OFFSET(G$112,MATCH($N$1,$C$112:$C$113,0)-1,0)</f>
        <v>1.2</v>
      </c>
      <c r="H34" s="33">
        <f ca="1">1.4*OFFSET(H$112,MATCH($N$1,$C$112:$C$113,0)-1,0)</f>
        <v>1.4</v>
      </c>
      <c r="I34" s="33">
        <f ca="1">1.1*OFFSET(I$112,MATCH($N$1,$C$112:$C$113,0)-1,0)</f>
        <v>1.1000000000000001</v>
      </c>
      <c r="J34" s="33">
        <f ca="1">1.1*OFFSET(J$112,MATCH($N$1,$C$112:$C$113,0)-1,0)</f>
        <v>1.1000000000000001</v>
      </c>
      <c r="K34" s="33">
        <f ca="1">1.2*OFFSET(K$112,MATCH($N$1,$C$112:$C$113,0)-1,0)</f>
        <v>1.2</v>
      </c>
      <c r="L34" s="33">
        <f ca="1">1.6*OFFSET(L$112,MATCH($N$1,$C$112:$C$113,0)-1,0)</f>
        <v>1.6</v>
      </c>
      <c r="M34" s="33">
        <f ca="1">1.7*OFFSET(M$112,MATCH($N$1,$C$112:$C$113,0)-1,0)</f>
        <v>1.7</v>
      </c>
      <c r="N34" s="33">
        <v>2.3000000000000003</v>
      </c>
      <c r="O34" s="29">
        <f t="shared" ca="1" si="0"/>
        <v>0.64285714285714313</v>
      </c>
      <c r="P34" s="29">
        <f t="shared" ca="1" si="1"/>
        <v>1.0909090909090911</v>
      </c>
    </row>
    <row r="35" spans="1:16" ht="18" customHeight="1" x14ac:dyDescent="0.2">
      <c r="A35" s="199"/>
      <c r="B35" s="37" t="s">
        <v>77</v>
      </c>
      <c r="C35" s="33"/>
      <c r="D35" s="33">
        <f ca="1">3.4*OFFSET(D$112,MATCH($N$1,$C$112:$C$113,0)-1,0)</f>
        <v>3.4</v>
      </c>
      <c r="E35" s="33">
        <f ca="1">3.9*OFFSET(E$112,MATCH($N$1,$C$112:$C$113,0)-1,0)</f>
        <v>3.9</v>
      </c>
      <c r="F35" s="33">
        <f ca="1">4.5*OFFSET(F$112,MATCH($N$1,$C$112:$C$113,0)-1,0)</f>
        <v>4.5</v>
      </c>
      <c r="G35" s="33">
        <f ca="1">3.9*OFFSET(G$112,MATCH($N$1,$C$112:$C$113,0)-1,0)</f>
        <v>3.9</v>
      </c>
      <c r="H35" s="33">
        <f ca="1">4.4*OFFSET(H$112,MATCH($N$1,$C$112:$C$113,0)-1,0)</f>
        <v>4.4000000000000004</v>
      </c>
      <c r="I35" s="33">
        <f ca="1">3.7*OFFSET(I$112,MATCH($N$1,$C$112:$C$113,0)-1,0)</f>
        <v>3.7</v>
      </c>
      <c r="J35" s="33">
        <f ca="1">3.1*OFFSET(J$112,MATCH($N$1,$C$112:$C$113,0)-1,0)</f>
        <v>3.1</v>
      </c>
      <c r="K35" s="33">
        <f ca="1">3.7*OFFSET(K$112,MATCH($N$1,$C$112:$C$113,0)-1,0)</f>
        <v>3.7</v>
      </c>
      <c r="L35" s="33">
        <f ca="1">4.3*OFFSET(L$112,MATCH($N$1,$C$112:$C$113,0)-1,0)</f>
        <v>4.3</v>
      </c>
      <c r="M35" s="33">
        <f ca="1">4.6*OFFSET(M$112,MATCH($N$1,$C$112:$C$113,0)-1,0)</f>
        <v>4.5999999999999996</v>
      </c>
      <c r="N35" s="33">
        <v>5.3</v>
      </c>
      <c r="O35" s="29">
        <f t="shared" ca="1" si="0"/>
        <v>0.55882352941176472</v>
      </c>
      <c r="P35" s="29">
        <f t="shared" ca="1" si="1"/>
        <v>0.70967741935483863</v>
      </c>
    </row>
    <row r="36" spans="1:16" ht="18" customHeight="1" x14ac:dyDescent="0.2">
      <c r="A36" s="199"/>
      <c r="B36" s="42" t="s">
        <v>78</v>
      </c>
      <c r="C36" s="43"/>
      <c r="D36" s="43">
        <f ca="1">1.4*OFFSET(D$112,MATCH($N$1,$C$112:$C$113,0)-1,0)</f>
        <v>1.4</v>
      </c>
      <c r="E36" s="43">
        <f ca="1">2*OFFSET(E$112,MATCH($N$1,$C$112:$C$113,0)-1,0)</f>
        <v>2</v>
      </c>
      <c r="F36" s="43">
        <f ca="1">1.2*OFFSET(F$112,MATCH($N$1,$C$112:$C$113,0)-1,0)</f>
        <v>1.2</v>
      </c>
      <c r="G36" s="43">
        <f ca="1">1.5*OFFSET(G$112,MATCH($N$1,$C$112:$C$113,0)-1,0)</f>
        <v>1.5</v>
      </c>
      <c r="H36" s="43">
        <f ca="1">0.8*OFFSET(H$112,MATCH($N$1,$C$112:$C$113,0)-1,0)</f>
        <v>0.8</v>
      </c>
      <c r="I36" s="43">
        <f ca="1">2*OFFSET(I$112,MATCH($N$1,$C$112:$C$113,0)-1,0)</f>
        <v>2</v>
      </c>
      <c r="J36" s="43">
        <f ca="1">1.8*OFFSET(J$112,MATCH($N$1,$C$112:$C$113,0)-1,0)</f>
        <v>1.8</v>
      </c>
      <c r="K36" s="43">
        <f ca="1">1.3*OFFSET(K$112,MATCH($N$1,$C$112:$C$113,0)-1,0)</f>
        <v>1.3</v>
      </c>
      <c r="L36" s="43">
        <f ca="1">1.1*OFFSET(L$112,MATCH($N$1,$C$112:$C$113,0)-1,0)</f>
        <v>1.1000000000000001</v>
      </c>
      <c r="M36" s="43">
        <f ca="1">2.1*OFFSET(M$112,MATCH($N$1,$C$112:$C$113,0)-1,0)</f>
        <v>2.1</v>
      </c>
      <c r="N36" s="43">
        <v>1.2</v>
      </c>
      <c r="O36" s="29">
        <f t="shared" ca="1" si="0"/>
        <v>-0.14285714285714282</v>
      </c>
      <c r="P36" s="29">
        <f t="shared" ca="1" si="1"/>
        <v>-0.33333333333333337</v>
      </c>
    </row>
    <row r="37" spans="1:16" ht="18" customHeight="1" x14ac:dyDescent="0.2">
      <c r="A37" s="199"/>
      <c r="B37" s="42" t="s">
        <v>79</v>
      </c>
      <c r="C37" s="43"/>
      <c r="D37" s="43">
        <f ca="1">0.8*OFFSET(D$112,MATCH($N$1,$C$112:$C$113,0)-1,0)</f>
        <v>0.8</v>
      </c>
      <c r="E37" s="43">
        <f ca="1">0.9*OFFSET(E$112,MATCH($N$1,$C$112:$C$113,0)-1,0)</f>
        <v>0.9</v>
      </c>
      <c r="F37" s="43"/>
      <c r="G37" s="43">
        <f ca="1">0.7*OFFSET(G$112,MATCH($N$1,$C$112:$C$113,0)-1,0)</f>
        <v>0.7</v>
      </c>
      <c r="H37" s="43">
        <f ca="1">-0.6*OFFSET(H$112,MATCH($N$1,$C$112:$C$113,0)-1,0)</f>
        <v>-0.6</v>
      </c>
      <c r="I37" s="43">
        <f ca="1">0.7*OFFSET(I$112,MATCH($N$1,$C$112:$C$113,0)-1,0)</f>
        <v>0.7</v>
      </c>
      <c r="J37" s="43">
        <f ca="1">1.2*OFFSET(J$112,MATCH($N$1,$C$112:$C$113,0)-1,0)</f>
        <v>1.2</v>
      </c>
      <c r="K37" s="43">
        <f ca="1">0.2*OFFSET(K$112,MATCH($N$1,$C$112:$C$113,0)-1,0)</f>
        <v>0.2</v>
      </c>
      <c r="L37" s="43">
        <f ca="1">-0.2*OFFSET(L$112,MATCH($N$1,$C$112:$C$113,0)-1,0)</f>
        <v>-0.2</v>
      </c>
      <c r="M37" s="43">
        <f ca="1">0.5*OFFSET(M$112,MATCH($N$1,$C$112:$C$113,0)-1,0)</f>
        <v>0.5</v>
      </c>
      <c r="N37" s="43">
        <v>-0.5</v>
      </c>
      <c r="O37" s="29">
        <f t="shared" ca="1" si="0"/>
        <v>-1.625</v>
      </c>
      <c r="P37" s="29">
        <f t="shared" ca="1" si="1"/>
        <v>-1.4166666666666667</v>
      </c>
    </row>
    <row r="38" spans="1:16" ht="18" customHeight="1" x14ac:dyDescent="0.2">
      <c r="A38" s="199"/>
      <c r="B38" s="37" t="s">
        <v>80</v>
      </c>
      <c r="C38" s="33"/>
      <c r="D38" s="33">
        <f ca="1">0.3*OFFSET(D$112,MATCH($N$1,$C$112:$C$113,0)-1,0)</f>
        <v>0.3</v>
      </c>
      <c r="E38" s="33">
        <f ca="1">1.1*OFFSET(E$112,MATCH($N$1,$C$112:$C$113,0)-1,0)</f>
        <v>1.1000000000000001</v>
      </c>
      <c r="F38" s="33">
        <f ca="1">0.3*OFFSET(F$112,MATCH($N$1,$C$112:$C$113,0)-1,0)</f>
        <v>0.3</v>
      </c>
      <c r="G38" s="33">
        <f ca="1">0.3*OFFSET(G$112,MATCH($N$1,$C$112:$C$113,0)-1,0)</f>
        <v>0.3</v>
      </c>
      <c r="H38" s="33">
        <f ca="1">0.5*OFFSET(H$112,MATCH($N$1,$C$112:$C$113,0)-1,0)</f>
        <v>0.5</v>
      </c>
      <c r="I38" s="33">
        <f ca="1">0.3*OFFSET(I$112,MATCH($N$1,$C$112:$C$113,0)-1,0)</f>
        <v>0.3</v>
      </c>
      <c r="J38" s="33">
        <f ca="1">0.5*OFFSET(J$112,MATCH($N$1,$C$112:$C$113,0)-1,0)</f>
        <v>0.5</v>
      </c>
      <c r="K38" s="33">
        <f ca="1">0.3*OFFSET(K$112,MATCH($N$1,$C$112:$C$113,0)-1,0)</f>
        <v>0.3</v>
      </c>
      <c r="L38" s="33">
        <f ca="1">0.4*OFFSET(L$112,MATCH($N$1,$C$112:$C$113,0)-1,0)</f>
        <v>0.4</v>
      </c>
      <c r="M38" s="33">
        <f ca="1">0.4*OFFSET(M$112,MATCH($N$1,$C$112:$C$113,0)-1,0)</f>
        <v>0.4</v>
      </c>
      <c r="N38" s="33"/>
      <c r="O38" s="29" t="str">
        <f t="shared" si="0"/>
        <v/>
      </c>
      <c r="P38" s="29" t="str">
        <f t="shared" si="1"/>
        <v/>
      </c>
    </row>
    <row r="39" spans="1:16" ht="18" customHeight="1" x14ac:dyDescent="0.2">
      <c r="A39" s="199"/>
      <c r="B39" s="37" t="s">
        <v>81</v>
      </c>
      <c r="C39" s="33"/>
      <c r="D39" s="33"/>
      <c r="E39" s="33">
        <f ca="1">0.1*OFFSET(E$112,MATCH($N$1,$C$112:$C$113,0)-1,0)</f>
        <v>0.1</v>
      </c>
      <c r="F39" s="33"/>
      <c r="G39" s="33">
        <f ca="1">0.1*OFFSET(G$112,MATCH($N$1,$C$112:$C$113,0)-1,0)</f>
        <v>0.1</v>
      </c>
      <c r="H39" s="33">
        <f ca="1">0.1*OFFSET(H$112,MATCH($N$1,$C$112:$C$113,0)-1,0)</f>
        <v>0.1</v>
      </c>
      <c r="I39" s="33"/>
      <c r="J39" s="33"/>
      <c r="K39" s="33"/>
      <c r="L39" s="33"/>
      <c r="M39" s="33"/>
      <c r="N39" s="33"/>
      <c r="O39" s="29" t="str">
        <f t="shared" si="0"/>
        <v/>
      </c>
      <c r="P39" s="29" t="str">
        <f t="shared" si="1"/>
        <v/>
      </c>
    </row>
    <row r="40" spans="1:16" ht="18" customHeight="1" x14ac:dyDescent="0.2">
      <c r="A40" s="199"/>
      <c r="B40" s="37" t="s">
        <v>82</v>
      </c>
      <c r="C40" s="33"/>
      <c r="D40" s="33">
        <f ca="1">0.1*OFFSET(D$112,MATCH($N$1,$C$112:$C$113,0)-1,0)</f>
        <v>0.1</v>
      </c>
      <c r="E40" s="33">
        <f ca="1">0.1*OFFSET(E$112,MATCH($N$1,$C$112:$C$113,0)-1,0)</f>
        <v>0.1</v>
      </c>
      <c r="F40" s="33"/>
      <c r="G40" s="33">
        <f ca="1">0.1*OFFSET(G$112,MATCH($N$1,$C$112:$C$113,0)-1,0)</f>
        <v>0.1</v>
      </c>
      <c r="H40" s="33"/>
      <c r="I40" s="33"/>
      <c r="J40" s="33"/>
      <c r="K40" s="33"/>
      <c r="L40" s="33">
        <f ca="1">0.1*OFFSET(L$112,MATCH($N$1,$C$112:$C$113,0)-1,0)</f>
        <v>0.1</v>
      </c>
      <c r="M40" s="33"/>
      <c r="N40" s="33"/>
      <c r="O40" s="29" t="str">
        <f t="shared" si="0"/>
        <v/>
      </c>
      <c r="P40" s="29" t="str">
        <f t="shared" si="1"/>
        <v/>
      </c>
    </row>
    <row r="41" spans="1:16" ht="18" customHeight="1" thickBot="1" x14ac:dyDescent="0.25">
      <c r="A41" s="200"/>
      <c r="B41" s="44" t="s">
        <v>83</v>
      </c>
      <c r="C41" s="45"/>
      <c r="D41" s="45">
        <f ca="1">0.4*OFFSET(D$112,MATCH($N$1,$C$112:$C$113,0)-1,0)</f>
        <v>0.4</v>
      </c>
      <c r="E41" s="45">
        <f ca="1">-0.4*OFFSET(E$112,MATCH($N$1,$C$112:$C$113,0)-1,0)</f>
        <v>-0.4</v>
      </c>
      <c r="F41" s="45">
        <f ca="1">-0.3*OFFSET(F$112,MATCH($N$1,$C$112:$C$113,0)-1,0)</f>
        <v>-0.3</v>
      </c>
      <c r="G41" s="45">
        <f ca="1">0.3*OFFSET(G$112,MATCH($N$1,$C$112:$C$113,0)-1,0)</f>
        <v>0.3</v>
      </c>
      <c r="H41" s="45">
        <f ca="1">-1.1*OFFSET(H$112,MATCH($N$1,$C$112:$C$113,0)-1,0)</f>
        <v>-1.1000000000000001</v>
      </c>
      <c r="I41" s="45">
        <f ca="1">0.3*OFFSET(I$112,MATCH($N$1,$C$112:$C$113,0)-1,0)</f>
        <v>0.3</v>
      </c>
      <c r="J41" s="45">
        <f ca="1">0.7*OFFSET(J$112,MATCH($N$1,$C$112:$C$113,0)-1,0)</f>
        <v>0.7</v>
      </c>
      <c r="K41" s="45">
        <f ca="1">-0.2*OFFSET(K$112,MATCH($N$1,$C$112:$C$113,0)-1,0)</f>
        <v>-0.2</v>
      </c>
      <c r="L41" s="45">
        <f ca="1">-0.7*OFFSET(L$112,MATCH($N$1,$C$112:$C$113,0)-1,0)</f>
        <v>-0.7</v>
      </c>
      <c r="M41" s="45">
        <f ca="1">-0.5*OFFSET(M$112,MATCH($N$1,$C$112:$C$113,0)-1,0)</f>
        <v>-0.5</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130</v>
      </c>
      <c r="F46" s="94" t="s">
        <v>130</v>
      </c>
      <c r="G46" s="94" t="s">
        <v>21</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Low activity under 10m</v>
      </c>
      <c r="C48" s="96"/>
      <c r="D48" s="96"/>
      <c r="E48" s="96"/>
      <c r="F48" s="96"/>
      <c r="G48" s="96"/>
      <c r="K48" s="96" t="str">
        <f>$B24&amp;CHAR(10)&amp;$A$1</f>
        <v>Operating profit per kW day at sea (£)
Low activity under 10m</v>
      </c>
    </row>
    <row r="49" spans="1:11" s="82" customFormat="1" x14ac:dyDescent="0.2">
      <c r="A49" s="96" t="str">
        <f>$B22&amp;CHAR(10)&amp;$A$1</f>
        <v>Fishing income per kW day at sea (£)
Low activity under 10m</v>
      </c>
    </row>
    <row r="50" spans="1:11" s="82" customFormat="1" x14ac:dyDescent="0.2">
      <c r="A50" s="96" t="str">
        <f>$B20&amp;CHAR(10)&amp;$A$1</f>
        <v>Average price per tonne landed (£)
Low activity under 10m</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Low activity under 10m</v>
      </c>
      <c r="F62" s="96" t="str">
        <f>$B20&amp;CHAR(10)&amp;$A$1</f>
        <v>Average price per tonne landed (£)
Low activity under 10m</v>
      </c>
      <c r="K62" s="96" t="str">
        <f>"Average annual operating profit per vessel (£'000)"&amp;CHAR(10)&amp;$A$1</f>
        <v>Average annual operating profit per vessel (£'000)
Low activity under 10m</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Low activity under 10m</v>
      </c>
      <c r="F76" s="96" t="str">
        <f>"Top 5 landed species by value in "&amp;A77&amp;CHAR(10)&amp;A1</f>
        <v>Top 5 landed species by value in 2020
Low activity under 10m</v>
      </c>
    </row>
    <row r="77" spans="1:11" s="96" customFormat="1" x14ac:dyDescent="0.2">
      <c r="A77" s="96">
        <v>2020</v>
      </c>
      <c r="B77" s="96" t="s">
        <v>252</v>
      </c>
      <c r="C77" s="97">
        <v>0.2728976168008716</v>
      </c>
      <c r="D77" s="98">
        <v>3050596</v>
      </c>
      <c r="G77" s="96" t="s">
        <v>253</v>
      </c>
      <c r="H77" s="97">
        <v>0.34013909010129417</v>
      </c>
      <c r="I77" s="98">
        <v>12153634</v>
      </c>
      <c r="K77" s="96" t="s">
        <v>87</v>
      </c>
    </row>
    <row r="78" spans="1:11" s="96" customFormat="1" x14ac:dyDescent="0.2">
      <c r="B78" s="96" t="s">
        <v>254</v>
      </c>
      <c r="C78" s="97">
        <v>0.10502901114816497</v>
      </c>
      <c r="D78" s="98">
        <v>3689192</v>
      </c>
      <c r="G78" s="96" t="s">
        <v>255</v>
      </c>
      <c r="H78" s="97">
        <v>0.16682124782524657</v>
      </c>
      <c r="I78" s="98">
        <v>553960</v>
      </c>
    </row>
    <row r="79" spans="1:11" s="96" customFormat="1" x14ac:dyDescent="0.2">
      <c r="B79" s="96" t="s">
        <v>256</v>
      </c>
      <c r="C79" s="97">
        <v>9.0854087985381249E-2</v>
      </c>
      <c r="D79" s="98">
        <v>1692097</v>
      </c>
      <c r="G79" s="96" t="s">
        <v>257</v>
      </c>
      <c r="H79" s="97">
        <v>0.10363462339229733</v>
      </c>
      <c r="I79" s="98">
        <v>3050596</v>
      </c>
    </row>
    <row r="80" spans="1:11" s="96" customFormat="1" x14ac:dyDescent="0.2">
      <c r="B80" s="96" t="s">
        <v>258</v>
      </c>
      <c r="C80" s="97">
        <v>8.1546081392217445E-2</v>
      </c>
      <c r="D80" s="98">
        <v>12153634</v>
      </c>
      <c r="G80" s="96" t="s">
        <v>259</v>
      </c>
      <c r="H80" s="97">
        <v>6.4172037522911632E-2</v>
      </c>
      <c r="I80" s="98">
        <v>1692097</v>
      </c>
    </row>
    <row r="81" spans="1:19" s="96" customFormat="1" x14ac:dyDescent="0.2">
      <c r="B81" s="96" t="s">
        <v>260</v>
      </c>
      <c r="C81" s="97">
        <v>6.1499482697998875E-2</v>
      </c>
      <c r="D81" s="98">
        <v>553960</v>
      </c>
      <c r="G81" s="96" t="s">
        <v>261</v>
      </c>
      <c r="H81" s="97">
        <v>5.6970830885843045E-2</v>
      </c>
      <c r="I81" s="98">
        <v>3689192</v>
      </c>
    </row>
    <row r="82" spans="1:19" s="96" customFormat="1" x14ac:dyDescent="0.2">
      <c r="B82" s="96" t="s">
        <v>262</v>
      </c>
      <c r="C82" s="97">
        <v>0.38817371997536587</v>
      </c>
      <c r="D82" s="98">
        <v>5920853</v>
      </c>
      <c r="G82" s="96" t="s">
        <v>263</v>
      </c>
      <c r="H82" s="97">
        <v>0.26826217027240717</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245</v>
      </c>
      <c r="D92" s="102">
        <v>0.29335423477899963</v>
      </c>
      <c r="E92" s="102">
        <v>0.29343326881468784</v>
      </c>
      <c r="F92" s="102">
        <v>0.32215767914698457</v>
      </c>
      <c r="G92" s="102">
        <v>0.31564677347995279</v>
      </c>
      <c r="H92" s="102">
        <v>0.32300237406892501</v>
      </c>
      <c r="I92" s="102">
        <v>0.32044162452095221</v>
      </c>
      <c r="J92" s="102">
        <v>0.30351205995581892</v>
      </c>
      <c r="K92" s="102">
        <v>0.32845995554277174</v>
      </c>
      <c r="L92" s="102">
        <v>0.34013909010129417</v>
      </c>
      <c r="M92" s="102">
        <v>0.33396728110518381</v>
      </c>
      <c r="O92" s="96">
        <v>12153634</v>
      </c>
    </row>
    <row r="93" spans="1:19" s="96" customFormat="1" hidden="1" x14ac:dyDescent="0.2">
      <c r="B93" s="96">
        <v>2</v>
      </c>
      <c r="C93" s="96" t="s">
        <v>228</v>
      </c>
      <c r="D93" s="102">
        <v>0.12774673914166076</v>
      </c>
      <c r="E93" s="102">
        <v>0.1330212865917296</v>
      </c>
      <c r="F93" s="102">
        <v>0.14574882516785168</v>
      </c>
      <c r="G93" s="102">
        <v>0.11659362208693586</v>
      </c>
      <c r="H93" s="102">
        <v>0.11974627835451782</v>
      </c>
      <c r="I93" s="102">
        <v>0.13409781009003854</v>
      </c>
      <c r="J93" s="102">
        <v>0.13512982286896116</v>
      </c>
      <c r="K93" s="102">
        <v>0.13053038659967903</v>
      </c>
      <c r="L93" s="102">
        <v>0.16682124782524657</v>
      </c>
      <c r="M93" s="102">
        <v>0.1709087965004476</v>
      </c>
      <c r="O93" s="96">
        <v>553960</v>
      </c>
    </row>
    <row r="94" spans="1:19" s="96" customFormat="1" hidden="1" x14ac:dyDescent="0.2">
      <c r="B94" s="96">
        <v>3</v>
      </c>
      <c r="C94" s="96" t="s">
        <v>213</v>
      </c>
      <c r="D94" s="102">
        <v>9.7310143062375426E-2</v>
      </c>
      <c r="E94" s="102">
        <v>9.0618405339778996E-2</v>
      </c>
      <c r="F94" s="102">
        <v>8.0525130189593175E-2</v>
      </c>
      <c r="G94" s="102">
        <v>0.11712173932620713</v>
      </c>
      <c r="H94" s="102">
        <v>9.9230238912155877E-2</v>
      </c>
      <c r="I94" s="102">
        <v>9.8840598300084612E-2</v>
      </c>
      <c r="J94" s="102">
        <v>0.12223883926264134</v>
      </c>
      <c r="K94" s="102">
        <v>0.11951612832030556</v>
      </c>
      <c r="L94" s="102">
        <v>0.10363462339229733</v>
      </c>
      <c r="M94" s="102">
        <v>0.12363517621626142</v>
      </c>
      <c r="O94" s="96">
        <v>3050596</v>
      </c>
    </row>
    <row r="95" spans="1:19" s="96" customFormat="1" hidden="1" x14ac:dyDescent="0.2">
      <c r="B95" s="96">
        <v>4</v>
      </c>
      <c r="C95" s="96" t="s">
        <v>249</v>
      </c>
      <c r="D95" s="102"/>
      <c r="E95" s="102">
        <v>6.7196007709255934E-2</v>
      </c>
      <c r="F95" s="102">
        <v>6.1977925029117517E-2</v>
      </c>
      <c r="G95" s="102"/>
      <c r="H95" s="102">
        <v>6.4297131228540291E-2</v>
      </c>
      <c r="I95" s="102"/>
      <c r="J95" s="102">
        <v>5.5254502516497869E-2</v>
      </c>
      <c r="K95" s="102">
        <v>6.0974734070673733E-2</v>
      </c>
      <c r="L95" s="102">
        <v>6.4172037522911632E-2</v>
      </c>
      <c r="M95" s="102">
        <v>5.7199339878513174E-2</v>
      </c>
      <c r="O95" s="96">
        <v>1692097</v>
      </c>
    </row>
    <row r="96" spans="1:19" s="96" customFormat="1" hidden="1" x14ac:dyDescent="0.2">
      <c r="B96" s="96">
        <v>5</v>
      </c>
      <c r="C96" s="96" t="s">
        <v>104</v>
      </c>
      <c r="D96" s="102">
        <v>6.3292195628568929E-2</v>
      </c>
      <c r="E96" s="102">
        <v>8.3152634855401447E-2</v>
      </c>
      <c r="F96" s="102">
        <v>6.9446667693875613E-2</v>
      </c>
      <c r="G96" s="102">
        <v>6.8175251827823274E-2</v>
      </c>
      <c r="H96" s="102"/>
      <c r="I96" s="102">
        <v>6.0913956944730507E-2</v>
      </c>
      <c r="J96" s="102">
        <v>6.6829999046513988E-2</v>
      </c>
      <c r="K96" s="102">
        <v>6.5367596698166955E-2</v>
      </c>
      <c r="L96" s="102">
        <v>5.6970830885843045E-2</v>
      </c>
      <c r="M96" s="102">
        <v>5.6214387756016476E-2</v>
      </c>
      <c r="O96" s="96">
        <v>3689192</v>
      </c>
    </row>
    <row r="97" spans="1:15" s="96" customFormat="1" hidden="1" x14ac:dyDescent="0.2">
      <c r="B97" s="96">
        <v>6</v>
      </c>
      <c r="C97" s="96" t="s">
        <v>144</v>
      </c>
      <c r="D97" s="102">
        <v>6.3859940022927927E-2</v>
      </c>
      <c r="E97" s="102"/>
      <c r="F97" s="102"/>
      <c r="G97" s="102">
        <v>5.9652013408147721E-2</v>
      </c>
      <c r="H97" s="102">
        <v>6.0061046148234445E-2</v>
      </c>
      <c r="I97" s="102">
        <v>5.6541406390713041E-2</v>
      </c>
      <c r="J97" s="102"/>
      <c r="K97" s="102"/>
      <c r="L97" s="102"/>
      <c r="M97" s="102"/>
      <c r="O97" s="96">
        <v>11115023</v>
      </c>
    </row>
    <row r="98" spans="1:15" s="96" customFormat="1" hidden="1" x14ac:dyDescent="0.2">
      <c r="B98" s="96">
        <v>7</v>
      </c>
      <c r="C98" s="96" t="s">
        <v>107</v>
      </c>
      <c r="D98" s="102">
        <v>0.35443674736546732</v>
      </c>
      <c r="E98" s="102">
        <v>0.33257839668914613</v>
      </c>
      <c r="F98" s="102">
        <v>0.32014377277257744</v>
      </c>
      <c r="G98" s="102">
        <v>0.32281059987093325</v>
      </c>
      <c r="H98" s="102">
        <v>0.33366293128762659</v>
      </c>
      <c r="I98" s="102">
        <v>0.32916460375348106</v>
      </c>
      <c r="J98" s="102">
        <v>0.31703477634956673</v>
      </c>
      <c r="K98" s="102">
        <v>0.29515119876840296</v>
      </c>
      <c r="L98" s="102">
        <v>0.26826217027240729</v>
      </c>
      <c r="M98" s="102">
        <v>0.25807501854357751</v>
      </c>
      <c r="O98" s="96">
        <v>5920853</v>
      </c>
    </row>
    <row r="99" spans="1:15" s="96" customFormat="1" hidden="1" x14ac:dyDescent="0.2">
      <c r="B99" s="96">
        <v>8</v>
      </c>
      <c r="D99" s="102"/>
      <c r="E99" s="102"/>
      <c r="F99" s="102"/>
      <c r="G99" s="102"/>
      <c r="H99" s="102"/>
      <c r="I99" s="102"/>
      <c r="J99" s="102"/>
      <c r="K99" s="102"/>
      <c r="L99" s="102"/>
      <c r="M99" s="102"/>
      <c r="O99" s="96">
        <v>7434864</v>
      </c>
    </row>
    <row r="100" spans="1:15" s="96" customFormat="1" hidden="1" x14ac:dyDescent="0.2">
      <c r="B100" s="96">
        <v>9</v>
      </c>
      <c r="D100" s="102"/>
      <c r="E100" s="102"/>
      <c r="F100" s="102"/>
      <c r="G100" s="102"/>
      <c r="H100" s="102"/>
      <c r="I100" s="102"/>
      <c r="J100" s="102"/>
      <c r="K100" s="102"/>
      <c r="L100" s="102"/>
      <c r="M100" s="102"/>
      <c r="O100" s="96">
        <v>8497745</v>
      </c>
    </row>
    <row r="101" spans="1:15" s="96" customFormat="1" hidden="1" x14ac:dyDescent="0.2">
      <c r="B101" s="96">
        <v>10</v>
      </c>
      <c r="D101" s="102"/>
      <c r="E101" s="102"/>
      <c r="F101" s="102"/>
      <c r="G101" s="102"/>
      <c r="H101" s="102"/>
      <c r="I101" s="102"/>
      <c r="J101" s="102"/>
      <c r="K101" s="102"/>
      <c r="L101" s="102"/>
      <c r="M101" s="102"/>
      <c r="O101" s="96">
        <v>14393110</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8</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373</v>
      </c>
      <c r="D120" s="56">
        <v>745</v>
      </c>
      <c r="E120" s="56">
        <v>373</v>
      </c>
      <c r="F120" s="57">
        <v>1500</v>
      </c>
    </row>
    <row r="121" spans="1:15" ht="18" customHeight="1" x14ac:dyDescent="0.2">
      <c r="A121" s="194" t="s">
        <v>27</v>
      </c>
      <c r="B121" s="35" t="s">
        <v>62</v>
      </c>
      <c r="C121" s="58">
        <v>6.0656032562255859</v>
      </c>
      <c r="D121" s="58">
        <v>6.3013690628461392</v>
      </c>
      <c r="E121" s="58">
        <v>6.7737531661987305</v>
      </c>
      <c r="F121" s="59">
        <v>6.4570932388305664</v>
      </c>
    </row>
    <row r="122" spans="1:15" ht="18" customHeight="1" x14ac:dyDescent="0.2">
      <c r="A122" s="195"/>
      <c r="B122" s="37" t="s">
        <v>55</v>
      </c>
      <c r="C122" s="60">
        <v>27.648794174194336</v>
      </c>
      <c r="D122" s="60">
        <v>35.895038835154281</v>
      </c>
      <c r="E122" s="60">
        <v>49.008380889892578</v>
      </c>
      <c r="F122" s="61">
        <v>37.504688262939453</v>
      </c>
    </row>
    <row r="123" spans="1:15" ht="18" customHeight="1" x14ac:dyDescent="0.2">
      <c r="A123" s="195"/>
      <c r="B123" s="37" t="s">
        <v>56</v>
      </c>
      <c r="C123" s="60">
        <v>1.7824933528900146</v>
      </c>
      <c r="D123" s="60">
        <v>2.1761521160202539</v>
      </c>
      <c r="E123" s="60">
        <v>2.9224860668182373</v>
      </c>
      <c r="F123" s="61">
        <v>2.3926689624786377</v>
      </c>
    </row>
    <row r="124" spans="1:15" ht="18" customHeight="1" x14ac:dyDescent="0.2">
      <c r="A124" s="195"/>
      <c r="B124" s="37" t="s">
        <v>57</v>
      </c>
      <c r="C124" s="60">
        <v>26.675165176391602</v>
      </c>
      <c r="D124" s="60">
        <v>31.594588721358537</v>
      </c>
      <c r="E124" s="60">
        <v>42.791282653808594</v>
      </c>
      <c r="F124" s="61">
        <v>33.423606872558594</v>
      </c>
    </row>
    <row r="125" spans="1:15" ht="18" customHeight="1" x14ac:dyDescent="0.2">
      <c r="A125" s="195"/>
      <c r="B125" s="37" t="s">
        <v>58</v>
      </c>
      <c r="C125" s="33">
        <v>1.2302439212799072</v>
      </c>
      <c r="D125" s="33">
        <v>1.1076071427172463</v>
      </c>
      <c r="E125" s="33">
        <v>0.80440402030944824</v>
      </c>
      <c r="F125" s="62">
        <v>1.1271736621856689</v>
      </c>
    </row>
    <row r="126" spans="1:15" ht="18" customHeight="1" x14ac:dyDescent="0.2">
      <c r="A126" s="195"/>
      <c r="B126" s="37" t="s">
        <v>63</v>
      </c>
      <c r="C126" s="33">
        <f ca="1">4.7588662109375*OFFSET($L$112,MATCH($N$1,$C$112:$C$113,0)-1,0)</f>
        <v>4.7588662109374997</v>
      </c>
      <c r="D126" s="33">
        <f ca="1">3.55917834030254*OFFSET($L$112,MATCH($N$1,$C$112:$C$113,0)-1,0)</f>
        <v>3.5591783403025401</v>
      </c>
      <c r="E126" s="33">
        <f ca="1">1.89633178710938*OFFSET($L$112,MATCH($N$1,$C$112:$C$113,0)-1,0)</f>
        <v>1.8963317871093801</v>
      </c>
      <c r="F126" s="62">
        <f ca="1">3.36724951171875*OFFSET($L$112,MATCH($N$1,$C$112:$C$113,0)-1,0)</f>
        <v>3.3672495117187502</v>
      </c>
    </row>
    <row r="127" spans="1:15" ht="18" customHeight="1" x14ac:dyDescent="0.2">
      <c r="A127" s="195"/>
      <c r="B127" s="37" t="s">
        <v>60</v>
      </c>
      <c r="C127" s="60">
        <v>11.689007759094238</v>
      </c>
      <c r="D127" s="60">
        <v>20.469798058631437</v>
      </c>
      <c r="E127" s="60">
        <v>19.906166076660156</v>
      </c>
      <c r="F127" s="61">
        <v>17.898666381835938</v>
      </c>
    </row>
    <row r="128" spans="1:15" ht="18" customHeight="1" x14ac:dyDescent="0.2">
      <c r="A128" s="195"/>
      <c r="B128" s="37" t="s">
        <v>64</v>
      </c>
      <c r="C128" s="60">
        <v>28.053619384765625</v>
      </c>
      <c r="D128" s="60">
        <v>29.225116852625906</v>
      </c>
      <c r="E128" s="60">
        <v>30.303302764892578</v>
      </c>
      <c r="F128" s="61">
        <v>29.02299690246582</v>
      </c>
    </row>
    <row r="129" spans="1:15" ht="18" customHeight="1" x14ac:dyDescent="0.2">
      <c r="A129" s="195"/>
      <c r="B129" s="37" t="s">
        <v>65</v>
      </c>
      <c r="C129" s="63">
        <v>0.10524793714284897</v>
      </c>
      <c r="D129" s="63">
        <v>5.4109334129469097E-2</v>
      </c>
      <c r="E129" s="63">
        <v>4.0409792214632034E-2</v>
      </c>
      <c r="F129" s="64">
        <v>6.2975287437438965E-2</v>
      </c>
    </row>
    <row r="130" spans="1:15" ht="18" customHeight="1" x14ac:dyDescent="0.2">
      <c r="A130" s="196"/>
      <c r="B130" s="39" t="s">
        <v>28</v>
      </c>
      <c r="C130" s="40">
        <f ca="1">3868.22981087078*OFFSET($L$112,MATCH($N$1,$C$112:$C$113,0)-1,0)</f>
        <v>3868.2298108707801</v>
      </c>
      <c r="D130" s="40">
        <f ca="1">3213.39417473506*OFFSET($L$112,MATCH($N$1,$C$112:$C$113,0)-1,0)</f>
        <v>3213.39417473506</v>
      </c>
      <c r="E130" s="40">
        <f ca="1">2357.43698344505*OFFSET($L$112,MATCH($N$1,$C$112:$C$113,0)-1,0)</f>
        <v>2357.4369834450499</v>
      </c>
      <c r="F130" s="65">
        <f ca="1">2987*OFFSET($L$112,MATCH($N$1,$C$112:$C$113,0)-1,0)</f>
        <v>2987</v>
      </c>
    </row>
    <row r="131" spans="1:15" ht="18" customHeight="1" x14ac:dyDescent="0.2">
      <c r="A131" s="205" t="s">
        <v>29</v>
      </c>
      <c r="B131" s="35" t="s">
        <v>66</v>
      </c>
      <c r="C131" s="66">
        <v>4.0573030522392717</v>
      </c>
      <c r="D131" s="66">
        <v>1.7545079169043571</v>
      </c>
      <c r="E131" s="66">
        <v>0.7418388093856092</v>
      </c>
      <c r="F131" s="67">
        <v>1.7048441353444541</v>
      </c>
    </row>
    <row r="132" spans="1:15" ht="18" customHeight="1" x14ac:dyDescent="0.2">
      <c r="A132" s="206"/>
      <c r="B132" s="37" t="s">
        <v>67</v>
      </c>
      <c r="C132" s="63">
        <f ca="1">15.6945806184089*OFFSET($L$112,MATCH($N$1,$C$112:$C$113,0)-1,0)</f>
        <v>15.694580618408899</v>
      </c>
      <c r="D132" s="63">
        <f ca="1">5.637925519707*OFFSET($L$112,MATCH($N$1,$C$112:$C$113,0)-1,0)</f>
        <v>5.6379255197070002</v>
      </c>
      <c r="E132" s="63">
        <f ca="1">1.74883824500048*OFFSET($L$112,MATCH($N$1,$C$112:$C$113,0)-1,0)</f>
        <v>1.74883824500048</v>
      </c>
      <c r="F132" s="64">
        <f ca="1">5.09294687667177*OFFSET($L$112,MATCH($N$1,$C$112:$C$113,0)-1,0)</f>
        <v>5.0929468766717703</v>
      </c>
    </row>
    <row r="133" spans="1:15" ht="18" customHeight="1" x14ac:dyDescent="0.2">
      <c r="A133" s="206"/>
      <c r="B133" s="37" t="s">
        <v>11</v>
      </c>
      <c r="C133" s="63">
        <f ca="1">14.788668272976*OFFSET($L$112,MATCH($N$1,$C$112:$C$113,0)-1,0)</f>
        <v>14.788668272976</v>
      </c>
      <c r="D133" s="63">
        <f ca="1">5.8915032457985*OFFSET($L$112,MATCH($N$1,$C$112:$C$113,0)-1,0)</f>
        <v>5.8915032457984999</v>
      </c>
      <c r="E133" s="63">
        <f ca="1">2.45259142372134*OFFSET($L$112,MATCH($N$1,$C$112:$C$113,0)-1,0)</f>
        <v>2.4525914237213402</v>
      </c>
      <c r="F133" s="64">
        <f ca="1">4.36086877050266*OFFSET($L$112,MATCH($N$1,$C$112:$C$113,0)-1,0)</f>
        <v>4.3608687705026599</v>
      </c>
    </row>
    <row r="134" spans="1:15" ht="18" customHeight="1" x14ac:dyDescent="0.2">
      <c r="A134" s="207"/>
      <c r="B134" s="39" t="s">
        <v>12</v>
      </c>
      <c r="C134" s="68">
        <f ca="1">0.905912345432989*OFFSET($L$112,MATCH($N$1,$C$112:$C$113,0)-1,0)</f>
        <v>0.90591234543298904</v>
      </c>
      <c r="D134" s="68">
        <f ca="1">-0.2535777260915*OFFSET($L$112,MATCH($N$1,$C$112:$C$113,0)-1,0)</f>
        <v>-0.25357772609149998</v>
      </c>
      <c r="E134" s="68">
        <f ca="1">-0.703753178720861*OFFSET($L$112,MATCH($N$1,$C$112:$C$113,0)-1,0)</f>
        <v>-0.70375317872086096</v>
      </c>
      <c r="F134" s="69">
        <f ca="1">0.732078106169112*OFFSET($L$112,MATCH($N$1,$C$112:$C$113,0)-1,0)</f>
        <v>0.73207810616911195</v>
      </c>
    </row>
    <row r="135" spans="1:15" ht="18" customHeight="1" x14ac:dyDescent="0.2">
      <c r="A135" s="208" t="s">
        <v>49</v>
      </c>
      <c r="B135" s="37" t="s">
        <v>109</v>
      </c>
      <c r="C135" s="70">
        <f ca="1">0.229611434936523*OFFSET($L$112,MATCH($N$1,$C$112:$C$113,0)-1,0)</f>
        <v>0.229611434936523</v>
      </c>
      <c r="D135" s="70">
        <f ca="1">0.537249774702443*OFFSET($L$112,MATCH($N$1,$C$112:$C$113,0)-1,0)</f>
        <v>0.53724977470244295</v>
      </c>
      <c r="E135" s="70">
        <f ca="1">0.964061645507812*OFFSET($L$112,MATCH($N$1,$C$112:$C$113,0)-1,0)</f>
        <v>0.96406164550781204</v>
      </c>
      <c r="F135" s="71">
        <f ca="1">0.410676483154297*OFFSET($L$112,MATCH($N$1,$C$112:$C$113,0)-1,0)</f>
        <v>0.410676483154297</v>
      </c>
    </row>
    <row r="136" spans="1:15" ht="18" customHeight="1" x14ac:dyDescent="0.2">
      <c r="A136" s="209"/>
      <c r="B136" s="37" t="s">
        <v>110</v>
      </c>
      <c r="C136" s="31">
        <v>436.23323092188366</v>
      </c>
      <c r="D136" s="31">
        <v>1022.3489416333429</v>
      </c>
      <c r="E136" s="31">
        <v>1837.2787445706781</v>
      </c>
      <c r="F136" s="72">
        <v>1137.49</v>
      </c>
    </row>
    <row r="137" spans="1:15" ht="18" customHeight="1" x14ac:dyDescent="0.2">
      <c r="A137" s="209"/>
      <c r="B137" s="37" t="s">
        <v>111</v>
      </c>
      <c r="C137" s="31">
        <v>37.319953918457031</v>
      </c>
      <c r="D137" s="31">
        <v>49.944261233307678</v>
      </c>
      <c r="E137" s="31">
        <v>92.296966552734375</v>
      </c>
      <c r="F137" s="72">
        <v>63.551662445068359</v>
      </c>
    </row>
    <row r="138" spans="1:15" ht="18" customHeight="1" x14ac:dyDescent="0.2">
      <c r="A138" s="209"/>
      <c r="B138" s="37" t="s">
        <v>112</v>
      </c>
      <c r="C138" s="31">
        <f ca="1">19.6433640620935*OFFSET($L$112,MATCH($N$1,$C$112:$C$113,0)-1,0)</f>
        <v>19.6433640620935</v>
      </c>
      <c r="D138" s="31">
        <f ca="1">26.2459733683549*OFFSET($L$112,MATCH($N$1,$C$112:$C$113,0)-1,0)</f>
        <v>26.2459733683549</v>
      </c>
      <c r="E138" s="31">
        <f ca="1">48.4303025401847*OFFSET($L$112,MATCH($N$1,$C$112:$C$113,0)-1,0)</f>
        <v>48.430302540184698</v>
      </c>
      <c r="F138" s="72">
        <f ca="1">22.9445297427893*OFFSET($L$112,MATCH($N$1,$C$112:$C$113,0)-1,0)</f>
        <v>22.9445297427893</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186.638950995704*OFFSET($L$112,MATCH($N$1,$C$112:$C$113,0)-1,0)</f>
        <v>186.63895099570399</v>
      </c>
      <c r="D139" s="31">
        <f ca="1">485.054451151724*OFFSET($L$112,MATCH($N$1,$C$112:$C$113,0)-1,0)</f>
        <v>485.05445115172398</v>
      </c>
      <c r="E139" s="31">
        <f ca="1">1198.47939737664*OFFSET($L$112,MATCH($N$1,$C$112:$C$113,0)-1,0)</f>
        <v>1198.47939737664</v>
      </c>
      <c r="F139" s="72">
        <f ca="1">364.341801917165*OFFSET($L$112,MATCH($N$1,$C$112:$C$113,0)-1,0)</f>
        <v>364.34180191716501</v>
      </c>
      <c r="I139" s="48"/>
      <c r="K139" s="73" t="s">
        <v>114</v>
      </c>
      <c r="L139" s="74">
        <f t="shared" ref="L139:M141" ca="1" si="2">C140</f>
        <v>5.6113461914062501</v>
      </c>
      <c r="M139" s="74">
        <f t="shared" ca="1" si="2"/>
        <v>4.1967520399669702</v>
      </c>
      <c r="N139" s="74">
        <f ca="1">E140</f>
        <v>2.2360312499999999</v>
      </c>
      <c r="O139" s="74"/>
    </row>
    <row r="140" spans="1:15" ht="18" customHeight="1" x14ac:dyDescent="0.2">
      <c r="A140" s="187" t="s">
        <v>50</v>
      </c>
      <c r="B140" s="35" t="s">
        <v>115</v>
      </c>
      <c r="C140" s="75">
        <f ca="1">5.61134619140625*OFFSET($L$112,MATCH($N$1,$C$112:$C$113,0)-1,0)</f>
        <v>5.6113461914062501</v>
      </c>
      <c r="D140" s="75">
        <f ca="1">4.19675203996697*OFFSET($L$112,MATCH($N$1,$C$112:$C$113,0)-1,0)</f>
        <v>4.1967520399669702</v>
      </c>
      <c r="E140" s="75">
        <f ca="1">2.23603125*OFFSET($L$112,MATCH($N$1,$C$112:$C$113,0)-1,0)</f>
        <v>2.2360312499999999</v>
      </c>
      <c r="F140" s="76">
        <f ca="1">5.0397685546875*OFFSET($L$112,MATCH($N$1,$C$112:$C$113,0)-1,0)</f>
        <v>5.0397685546875</v>
      </c>
      <c r="I140" s="48"/>
      <c r="K140" s="73" t="s">
        <v>116</v>
      </c>
      <c r="L140" s="74">
        <f t="shared" ca="1" si="2"/>
        <v>5.3366582031250003</v>
      </c>
      <c r="M140" s="74">
        <f t="shared" ca="1" si="2"/>
        <v>4.3568336776426202</v>
      </c>
      <c r="N140" s="74">
        <f ca="1">E141</f>
        <v>2.9991376953125002</v>
      </c>
      <c r="O140" s="74"/>
    </row>
    <row r="141" spans="1:15" ht="18" customHeight="1" x14ac:dyDescent="0.2">
      <c r="A141" s="188"/>
      <c r="B141" s="37" t="s">
        <v>117</v>
      </c>
      <c r="C141" s="31">
        <f ca="1">5.336658203125*OFFSET($L$112,MATCH($N$1,$C$112:$C$113,0)-1,0)</f>
        <v>5.3366582031250003</v>
      </c>
      <c r="D141" s="31">
        <f ca="1">4.35683367764262*OFFSET($L$112,MATCH($N$1,$C$112:$C$113,0)-1,0)</f>
        <v>4.3568336776426202</v>
      </c>
      <c r="E141" s="31">
        <f ca="1">2.9991376953125*OFFSET($L$112,MATCH($N$1,$C$112:$C$113,0)-1,0)</f>
        <v>2.9991376953125002</v>
      </c>
      <c r="F141" s="72">
        <f ca="1">4.555748046875*OFFSET($L$112,MATCH($N$1,$C$112:$C$113,0)-1,0)</f>
        <v>4.5557480468750002</v>
      </c>
      <c r="I141" s="48"/>
      <c r="K141" s="73" t="s">
        <v>118</v>
      </c>
      <c r="L141" s="74">
        <f t="shared" ca="1" si="2"/>
        <v>0.27468798828125002</v>
      </c>
      <c r="M141" s="74">
        <f t="shared" ca="1" si="2"/>
        <v>-0.16008163767565001</v>
      </c>
      <c r="N141" s="74">
        <f ca="1">E142</f>
        <v>-0.76310644531250005</v>
      </c>
      <c r="O141" s="74"/>
    </row>
    <row r="142" spans="1:15" ht="18" customHeight="1" x14ac:dyDescent="0.2">
      <c r="A142" s="189"/>
      <c r="B142" s="39" t="s">
        <v>119</v>
      </c>
      <c r="C142" s="40">
        <f ca="1">0.27468798828125*OFFSET($L$112,MATCH($N$1,$C$112:$C$113,0)-1,0)</f>
        <v>0.27468798828125002</v>
      </c>
      <c r="D142" s="40">
        <f ca="1">-0.16008163767565*OFFSET($L$112,MATCH($N$1,$C$112:$C$113,0)-1,0)</f>
        <v>-0.16008163767565001</v>
      </c>
      <c r="E142" s="40">
        <f ca="1">-0.7631064453125*OFFSET($L$112,MATCH($N$1,$C$112:$C$113,0)-1,0)</f>
        <v>-0.76310644531250005</v>
      </c>
      <c r="F142" s="65">
        <f ca="1">0.484020294189453*OFFSET($L$112,MATCH($N$1,$C$112:$C$113,0)-1,0)</f>
        <v>0.48402029418945303</v>
      </c>
      <c r="I142" s="48"/>
      <c r="K142" s="73" t="s">
        <v>120</v>
      </c>
      <c r="L142" s="77">
        <f ca="1">IFERROR(L140/L$139,"")</f>
        <v>0.9510477559374374</v>
      </c>
      <c r="M142" s="77">
        <f t="shared" ref="M142:N143" ca="1" si="3">IFERROR(M140/M$139,"")</f>
        <v>1.0381441734348713</v>
      </c>
      <c r="N142" s="77">
        <f t="shared" ca="1" si="3"/>
        <v>1.3412771826478276</v>
      </c>
      <c r="O142" s="77"/>
    </row>
    <row r="143" spans="1:15" ht="18" customHeight="1" x14ac:dyDescent="0.2">
      <c r="I143" s="48"/>
      <c r="K143" s="73" t="s">
        <v>121</v>
      </c>
      <c r="L143" s="77">
        <f ca="1">IFERROR(L141/L$139,"")</f>
        <v>4.8952244062562628E-2</v>
      </c>
      <c r="M143" s="77">
        <f t="shared" ca="1" si="3"/>
        <v>-3.8144173434871295E-2</v>
      </c>
      <c r="N143" s="77">
        <f t="shared" ca="1" si="3"/>
        <v>-0.34127718264782753</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8</v>
      </c>
      <c r="B161" s="53"/>
      <c r="C161" s="78" t="s">
        <v>45</v>
      </c>
      <c r="D161" s="78" t="s">
        <v>122</v>
      </c>
      <c r="E161" s="78" t="s">
        <v>47</v>
      </c>
      <c r="F161" s="78" t="s">
        <v>123</v>
      </c>
      <c r="G161" s="79">
        <v>9</v>
      </c>
      <c r="H161" s="78"/>
      <c r="I161" s="78" t="s">
        <v>45</v>
      </c>
      <c r="J161" s="78" t="s">
        <v>122</v>
      </c>
      <c r="K161" s="78" t="s">
        <v>47</v>
      </c>
      <c r="L161" s="53" t="s">
        <v>123</v>
      </c>
      <c r="R161" s="21"/>
      <c r="S161" s="21"/>
    </row>
    <row r="162" spans="1:19" s="48" customFormat="1" x14ac:dyDescent="0.2">
      <c r="A162" s="49">
        <v>1</v>
      </c>
      <c r="B162" s="53" t="s">
        <v>213</v>
      </c>
      <c r="C162" s="53">
        <v>0.17311938865487861</v>
      </c>
      <c r="D162" s="53">
        <v>0.42851367851926275</v>
      </c>
      <c r="E162" s="53">
        <v>0.24077373835653068</v>
      </c>
      <c r="F162" s="49">
        <v>3050596</v>
      </c>
      <c r="G162" s="49">
        <v>1</v>
      </c>
      <c r="H162" s="53" t="s">
        <v>245</v>
      </c>
      <c r="I162" s="53">
        <v>0.39205871273624732</v>
      </c>
      <c r="J162" s="53">
        <v>0.37355320438472284</v>
      </c>
      <c r="K162" s="53">
        <v>0.31350079863649699</v>
      </c>
      <c r="L162" s="49">
        <v>12153634</v>
      </c>
      <c r="R162" s="21"/>
      <c r="S162" s="21"/>
    </row>
    <row r="163" spans="1:19" s="48" customFormat="1" x14ac:dyDescent="0.2">
      <c r="A163" s="49">
        <v>2</v>
      </c>
      <c r="B163" s="53" t="s">
        <v>249</v>
      </c>
      <c r="C163" s="53">
        <v>7.5119908984822584E-2</v>
      </c>
      <c r="D163" s="53">
        <v>0.13359828234003085</v>
      </c>
      <c r="E163" s="53">
        <v>7.5253623472164147E-2</v>
      </c>
      <c r="F163" s="49">
        <v>1692097</v>
      </c>
      <c r="G163" s="49">
        <v>2</v>
      </c>
      <c r="H163" s="53" t="s">
        <v>228</v>
      </c>
      <c r="I163" s="53">
        <v>0.18262990007329813</v>
      </c>
      <c r="J163" s="53">
        <v>0.19518067167301095</v>
      </c>
      <c r="K163" s="53">
        <v>0.13758482311249365</v>
      </c>
      <c r="L163" s="49">
        <v>553960</v>
      </c>
      <c r="N163" s="48" t="s">
        <v>124</v>
      </c>
      <c r="R163" s="21"/>
      <c r="S163" s="21"/>
    </row>
    <row r="164" spans="1:19" s="48" customFormat="1" x14ac:dyDescent="0.2">
      <c r="A164" s="49">
        <v>3</v>
      </c>
      <c r="B164" s="53" t="s">
        <v>104</v>
      </c>
      <c r="C164" s="53">
        <v>0.17706397710707858</v>
      </c>
      <c r="D164" s="53">
        <v>9.4696238824397608E-2</v>
      </c>
      <c r="E164" s="53">
        <v>9.293044309591765E-2</v>
      </c>
      <c r="F164" s="49">
        <v>3689192</v>
      </c>
      <c r="G164" s="49">
        <v>3</v>
      </c>
      <c r="H164" s="53" t="s">
        <v>213</v>
      </c>
      <c r="I164" s="53">
        <v>0</v>
      </c>
      <c r="J164" s="53">
        <v>0.15864428291378876</v>
      </c>
      <c r="K164" s="53">
        <v>0.11853485128596775</v>
      </c>
      <c r="L164" s="49">
        <v>3050596</v>
      </c>
      <c r="N164" s="48" t="s">
        <v>125</v>
      </c>
      <c r="R164" s="21"/>
      <c r="S164" s="21"/>
    </row>
    <row r="165" spans="1:19" s="48" customFormat="1" x14ac:dyDescent="0.2">
      <c r="A165" s="49">
        <v>4</v>
      </c>
      <c r="B165" s="53" t="s">
        <v>245</v>
      </c>
      <c r="C165" s="53">
        <v>0.11384367277391524</v>
      </c>
      <c r="D165" s="53">
        <v>9.3872194925687255E-2</v>
      </c>
      <c r="E165" s="53">
        <v>5.9275895235449787E-2</v>
      </c>
      <c r="F165" s="49">
        <v>12153634</v>
      </c>
      <c r="G165" s="49">
        <v>4</v>
      </c>
      <c r="H165" s="53" t="s">
        <v>249</v>
      </c>
      <c r="I165" s="53">
        <v>0</v>
      </c>
      <c r="J165" s="53">
        <v>9.1081884684445252E-2</v>
      </c>
      <c r="K165" s="53">
        <v>6.9657069446449449E-2</v>
      </c>
      <c r="L165" s="49">
        <v>1692097</v>
      </c>
      <c r="R165" s="21"/>
      <c r="S165" s="21"/>
    </row>
    <row r="166" spans="1:19" s="48" customFormat="1" x14ac:dyDescent="0.2">
      <c r="A166" s="49">
        <v>5</v>
      </c>
      <c r="B166" s="53" t="s">
        <v>228</v>
      </c>
      <c r="C166" s="53">
        <v>9.0836621584927404E-2</v>
      </c>
      <c r="D166" s="53">
        <v>7.100021416717972E-2</v>
      </c>
      <c r="E166" s="53">
        <v>0</v>
      </c>
      <c r="F166" s="49">
        <v>553960</v>
      </c>
      <c r="G166" s="49">
        <v>5</v>
      </c>
      <c r="H166" s="53" t="s">
        <v>104</v>
      </c>
      <c r="I166" s="53">
        <v>7.4233728277308189E-2</v>
      </c>
      <c r="J166" s="53">
        <v>5.3328280006941703E-2</v>
      </c>
      <c r="K166" s="53">
        <v>0</v>
      </c>
      <c r="L166" s="49">
        <v>3689192</v>
      </c>
      <c r="R166" s="21"/>
      <c r="S166" s="21"/>
    </row>
    <row r="167" spans="1:19" s="48" customFormat="1" x14ac:dyDescent="0.2">
      <c r="A167" s="49">
        <v>6</v>
      </c>
      <c r="B167" s="53" t="s">
        <v>106</v>
      </c>
      <c r="C167" s="53">
        <v>0</v>
      </c>
      <c r="D167" s="53">
        <v>0</v>
      </c>
      <c r="E167" s="53">
        <v>5.4952513014149294E-2</v>
      </c>
      <c r="F167" s="49">
        <v>11115023</v>
      </c>
      <c r="G167" s="49">
        <v>6</v>
      </c>
      <c r="H167" s="53" t="s">
        <v>144</v>
      </c>
      <c r="I167" s="53">
        <v>6.1514715297043027E-2</v>
      </c>
      <c r="J167" s="53">
        <v>0</v>
      </c>
      <c r="K167" s="53">
        <v>6.6313035237798093E-2</v>
      </c>
      <c r="L167" s="49">
        <v>2480382</v>
      </c>
      <c r="R167" s="21"/>
      <c r="S167" s="21"/>
    </row>
    <row r="168" spans="1:19" s="48" customFormat="1" x14ac:dyDescent="0.2">
      <c r="A168" s="49">
        <v>7</v>
      </c>
      <c r="B168" s="53" t="s">
        <v>107</v>
      </c>
      <c r="C168" s="53">
        <v>0.37001643089437752</v>
      </c>
      <c r="D168" s="53">
        <v>0.17831939122344187</v>
      </c>
      <c r="E168" s="53">
        <v>0.47681378682578845</v>
      </c>
      <c r="F168" s="49">
        <v>5920853</v>
      </c>
      <c r="G168" s="49">
        <v>7</v>
      </c>
      <c r="H168" s="53" t="s">
        <v>102</v>
      </c>
      <c r="I168" s="53">
        <v>5.7002064409578862E-2</v>
      </c>
      <c r="J168" s="53">
        <v>0</v>
      </c>
      <c r="K168" s="53">
        <v>0</v>
      </c>
      <c r="L168" s="49">
        <v>7434864</v>
      </c>
      <c r="R168" s="21"/>
      <c r="S168" s="21"/>
    </row>
    <row r="169" spans="1:19" s="48" customFormat="1" x14ac:dyDescent="0.2">
      <c r="A169" s="49">
        <v>8</v>
      </c>
      <c r="B169" s="53"/>
      <c r="C169" s="53">
        <v>0</v>
      </c>
      <c r="D169" s="53">
        <v>0</v>
      </c>
      <c r="E169" s="53">
        <v>0</v>
      </c>
      <c r="F169" s="49"/>
      <c r="G169" s="49">
        <v>8</v>
      </c>
      <c r="H169" s="53" t="s">
        <v>107</v>
      </c>
      <c r="I169" s="53">
        <v>0.23256087920652446</v>
      </c>
      <c r="J169" s="53">
        <v>0.12821167633709052</v>
      </c>
      <c r="K169" s="53">
        <v>0.29440942228079414</v>
      </c>
      <c r="L169" s="49">
        <v>5920853</v>
      </c>
      <c r="R169" s="21"/>
      <c r="S169" s="21"/>
    </row>
    <row r="170" spans="1:19" s="48" customFormat="1" x14ac:dyDescent="0.2">
      <c r="A170" s="49">
        <v>9</v>
      </c>
      <c r="B170" s="53"/>
      <c r="C170" s="53">
        <v>0</v>
      </c>
      <c r="D170" s="53">
        <v>0</v>
      </c>
      <c r="E170" s="53">
        <v>0</v>
      </c>
      <c r="F170" s="49"/>
      <c r="G170" s="49">
        <v>9</v>
      </c>
      <c r="H170" s="53"/>
      <c r="I170" s="53">
        <v>0</v>
      </c>
      <c r="J170" s="53">
        <v>0</v>
      </c>
      <c r="K170" s="53">
        <v>0</v>
      </c>
      <c r="L170" s="49"/>
      <c r="R170" s="21"/>
      <c r="S170" s="21"/>
    </row>
    <row r="171" spans="1:19" s="48" customFormat="1" x14ac:dyDescent="0.2">
      <c r="A171" s="49">
        <v>10</v>
      </c>
      <c r="B171" s="53"/>
      <c r="C171" s="53">
        <v>0</v>
      </c>
      <c r="D171" s="53">
        <v>0</v>
      </c>
      <c r="E171" s="53">
        <v>0</v>
      </c>
      <c r="F171" s="49"/>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E14BF9EA-3C99-4C35-B88A-B4ECF99ACCAE}">
      <formula1>$C$112:$C$113</formula1>
    </dataValidation>
  </dataValidations>
  <hyperlinks>
    <hyperlink ref="O1:P1" location="Home_page" display="Back to home page" xr:uid="{E1E2AC8F-DBF9-4715-99E4-8F1EDC67A7B7}"/>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D4C34304-6CBF-4A0E-BF9D-8DBA8C66AB6B}">
          <x14:colorSeries rgb="FF323232"/>
          <x14:colorNegative rgb="FFD00000"/>
          <x14:colorAxis rgb="FF000000"/>
          <x14:colorMarkers rgb="FFD00000"/>
          <x14:colorFirst rgb="FFD00000"/>
          <x14:colorLast rgb="FFD00000"/>
          <x14:colorHigh rgb="FFD00000"/>
          <x14:colorLow rgb="FFD00000"/>
          <x14:sparklines>
            <x14:sparkline>
              <xm:f>'Low activity under 10m'!D3:N3</xm:f>
              <xm:sqref>C3</xm:sqref>
            </x14:sparkline>
            <x14:sparkline>
              <xm:f>'Low activity under 10m'!D4:N4</xm:f>
              <xm:sqref>C4</xm:sqref>
            </x14:sparkline>
            <x14:sparkline>
              <xm:f>'Low activity under 10m'!D5:N5</xm:f>
              <xm:sqref>C5</xm:sqref>
            </x14:sparkline>
            <x14:sparkline>
              <xm:f>'Low activity under 10m'!D6:N6</xm:f>
              <xm:sqref>C6</xm:sqref>
            </x14:sparkline>
            <x14:sparkline>
              <xm:f>'Low activity under 10m'!D7:N7</xm:f>
              <xm:sqref>C7</xm:sqref>
            </x14:sparkline>
            <x14:sparkline>
              <xm:f>'Low activity under 10m'!D8:N8</xm:f>
              <xm:sqref>C8</xm:sqref>
            </x14:sparkline>
            <x14:sparkline>
              <xm:f>'Low activity under 10m'!D9:N9</xm:f>
              <xm:sqref>C9</xm:sqref>
            </x14:sparkline>
            <x14:sparkline>
              <xm:f>'Low activity under 10m'!D10:N10</xm:f>
              <xm:sqref>C10</xm:sqref>
            </x14:sparkline>
            <x14:sparkline>
              <xm:f>'Low activity under 10m'!D11:N11</xm:f>
              <xm:sqref>C11</xm:sqref>
            </x14:sparkline>
            <x14:sparkline>
              <xm:f>'Low activity under 10m'!D12:N12</xm:f>
              <xm:sqref>C12</xm:sqref>
            </x14:sparkline>
            <x14:sparkline>
              <xm:f>'Low activity under 10m'!D13:N13</xm:f>
              <xm:sqref>C13</xm:sqref>
            </x14:sparkline>
            <x14:sparkline>
              <xm:f>'Low activity under 10m'!D14:N14</xm:f>
              <xm:sqref>C14</xm:sqref>
            </x14:sparkline>
            <x14:sparkline>
              <xm:f>'Low activity under 10m'!D15:N15</xm:f>
              <xm:sqref>C15</xm:sqref>
            </x14:sparkline>
            <x14:sparkline>
              <xm:f>'Low activity under 10m'!D16:N16</xm:f>
              <xm:sqref>C16</xm:sqref>
            </x14:sparkline>
            <x14:sparkline>
              <xm:f>'Low activity under 10m'!D17:N17</xm:f>
              <xm:sqref>C17</xm:sqref>
            </x14:sparkline>
            <x14:sparkline>
              <xm:f>'Low activity under 10m'!D18:N18</xm:f>
              <xm:sqref>C18</xm:sqref>
            </x14:sparkline>
            <x14:sparkline>
              <xm:f>'Low activity under 10m'!D19:N19</xm:f>
              <xm:sqref>C19</xm:sqref>
            </x14:sparkline>
            <x14:sparkline>
              <xm:f>'Low activity under 10m'!D20:N20</xm:f>
              <xm:sqref>C20</xm:sqref>
            </x14:sparkline>
            <x14:sparkline>
              <xm:f>'Low activity under 10m'!D21:N21</xm:f>
              <xm:sqref>C21</xm:sqref>
            </x14:sparkline>
            <x14:sparkline>
              <xm:f>'Low activity under 10m'!D22:N22</xm:f>
              <xm:sqref>C22</xm:sqref>
            </x14:sparkline>
            <x14:sparkline>
              <xm:f>'Low activity under 10m'!D23:N23</xm:f>
              <xm:sqref>C23</xm:sqref>
            </x14:sparkline>
            <x14:sparkline>
              <xm:f>'Low activity under 10m'!D24:N24</xm:f>
              <xm:sqref>C24</xm:sqref>
            </x14:sparkline>
            <x14:sparkline>
              <xm:f>'Low activity under 10m'!D25:N25</xm:f>
              <xm:sqref>C25</xm:sqref>
            </x14:sparkline>
            <x14:sparkline>
              <xm:f>'Low activity under 10m'!D26:N26</xm:f>
              <xm:sqref>C26</xm:sqref>
            </x14:sparkline>
            <x14:sparkline>
              <xm:f>'Low activity under 10m'!D27:N27</xm:f>
              <xm:sqref>C27</xm:sqref>
            </x14:sparkline>
            <x14:sparkline>
              <xm:f>'Low activity under 10m'!D28:N28</xm:f>
              <xm:sqref>C28</xm:sqref>
            </x14:sparkline>
            <x14:sparkline>
              <xm:f>'Low activity under 10m'!D29:N29</xm:f>
              <xm:sqref>C29</xm:sqref>
            </x14:sparkline>
            <x14:sparkline>
              <xm:f>'Low activity under 10m'!D30:N30</xm:f>
              <xm:sqref>C30</xm:sqref>
            </x14:sparkline>
            <x14:sparkline>
              <xm:f>'Low activity under 10m'!D31:N31</xm:f>
              <xm:sqref>C31</xm:sqref>
            </x14:sparkline>
            <x14:sparkline>
              <xm:f>'Low activity under 10m'!D32:N32</xm:f>
              <xm:sqref>C32</xm:sqref>
            </x14:sparkline>
            <x14:sparkline>
              <xm:f>'Low activity under 10m'!D33:N33</xm:f>
              <xm:sqref>C33</xm:sqref>
            </x14:sparkline>
            <x14:sparkline>
              <xm:f>'Low activity under 10m'!D34:N34</xm:f>
              <xm:sqref>C34</xm:sqref>
            </x14:sparkline>
            <x14:sparkline>
              <xm:f>'Low activity under 10m'!D35:N35</xm:f>
              <xm:sqref>C35</xm:sqref>
            </x14:sparkline>
            <x14:sparkline>
              <xm:f>'Low activity under 10m'!D36:N36</xm:f>
              <xm:sqref>C36</xm:sqref>
            </x14:sparkline>
            <x14:sparkline>
              <xm:f>'Low activity under 10m'!D37:N37</xm:f>
              <xm:sqref>C37</xm:sqref>
            </x14:sparkline>
            <x14:sparkline>
              <xm:f>'Low activity under 10m'!D38:N38</xm:f>
              <xm:sqref>C38</xm:sqref>
            </x14:sparkline>
            <x14:sparkline>
              <xm:f>'Low activity under 10m'!D39:N39</xm:f>
              <xm:sqref>C39</xm:sqref>
            </x14:sparkline>
            <x14:sparkline>
              <xm:f>'Low activity under 10m'!D40:N40</xm:f>
              <xm:sqref>C40</xm:sqref>
            </x14:sparkline>
            <x14:sparkline>
              <xm:f>'Low activity under 10m'!D41:N41</xm:f>
              <xm:sqref>C41</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56737-403D-4BAF-BC2F-3AD987A2AB39}">
  <sheetPr codeName="Feuil17">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266</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9</v>
      </c>
      <c r="E3" s="28">
        <v>8</v>
      </c>
      <c r="F3" s="28">
        <v>11</v>
      </c>
      <c r="G3" s="28">
        <v>11</v>
      </c>
      <c r="H3" s="28">
        <v>10</v>
      </c>
      <c r="I3" s="28">
        <v>9</v>
      </c>
      <c r="J3" s="28">
        <v>9</v>
      </c>
      <c r="K3" s="28">
        <v>7</v>
      </c>
      <c r="L3" s="28">
        <v>7</v>
      </c>
      <c r="M3" s="28">
        <v>7</v>
      </c>
      <c r="N3" s="28">
        <v>6</v>
      </c>
      <c r="O3" s="29">
        <f t="shared" ref="O3:O41" si="0">IF(N3=0,"",IFERROR(IF(AND(N3&gt;0,D3&lt;0),"na",IF(AND(N3&lt;0,D3&lt;0),-1,1)*(N3-D3)/D3),""))</f>
        <v>-0.33333333333333331</v>
      </c>
      <c r="P3" s="29">
        <f t="shared" ref="P3:P41" si="1">IF(N3=0,"",IFERROR(IF(AND(N3&gt;0,J3&lt;0),"na",IF(AND(N3&lt;0,J3&lt;0),-1,1)*(N3-J3)/J3),""))</f>
        <v>-0.33333333333333331</v>
      </c>
    </row>
    <row r="4" spans="1:17" ht="18" customHeight="1" x14ac:dyDescent="0.2">
      <c r="A4" s="193"/>
      <c r="B4" s="30" t="s">
        <v>55</v>
      </c>
      <c r="C4" s="31"/>
      <c r="D4" s="31">
        <v>13042</v>
      </c>
      <c r="E4" s="31">
        <v>11550</v>
      </c>
      <c r="F4" s="31">
        <v>16004</v>
      </c>
      <c r="G4" s="31">
        <v>16004</v>
      </c>
      <c r="H4" s="31">
        <v>14534</v>
      </c>
      <c r="I4" s="31">
        <v>13209</v>
      </c>
      <c r="J4" s="31">
        <v>13188</v>
      </c>
      <c r="K4" s="31">
        <v>10226</v>
      </c>
      <c r="L4" s="31">
        <v>10375</v>
      </c>
      <c r="M4" s="31">
        <v>10375</v>
      </c>
      <c r="N4" s="31">
        <v>8904</v>
      </c>
      <c r="O4" s="29">
        <f t="shared" si="0"/>
        <v>-0.31728262536420793</v>
      </c>
      <c r="P4" s="29">
        <f t="shared" si="1"/>
        <v>-0.32484076433121017</v>
      </c>
    </row>
    <row r="5" spans="1:17" ht="18" customHeight="1" x14ac:dyDescent="0.2">
      <c r="A5" s="193"/>
      <c r="B5" s="30" t="s">
        <v>56</v>
      </c>
      <c r="C5" s="31"/>
      <c r="D5" s="31">
        <v>3992</v>
      </c>
      <c r="E5" s="31">
        <v>3619</v>
      </c>
      <c r="F5" s="31">
        <v>4932</v>
      </c>
      <c r="G5" s="31">
        <v>4932</v>
      </c>
      <c r="H5" s="31">
        <v>4542</v>
      </c>
      <c r="I5" s="31">
        <v>4230</v>
      </c>
      <c r="J5" s="31">
        <v>4413</v>
      </c>
      <c r="K5" s="31">
        <v>3495</v>
      </c>
      <c r="L5" s="31">
        <v>3440</v>
      </c>
      <c r="M5" s="31">
        <v>3440</v>
      </c>
      <c r="N5" s="31">
        <v>2884</v>
      </c>
      <c r="O5" s="29">
        <f t="shared" si="0"/>
        <v>-0.27755511022044088</v>
      </c>
      <c r="P5" s="29">
        <f t="shared" si="1"/>
        <v>-0.34647631996374351</v>
      </c>
      <c r="Q5" s="32"/>
    </row>
    <row r="6" spans="1:17" ht="18" customHeight="1" x14ac:dyDescent="0.2">
      <c r="A6" s="193"/>
      <c r="B6" s="30" t="s">
        <v>57</v>
      </c>
      <c r="C6" s="31"/>
      <c r="D6" s="31">
        <v>9081.544921875</v>
      </c>
      <c r="E6" s="31">
        <v>8089.27001953125</v>
      </c>
      <c r="F6" s="31">
        <v>11120.625</v>
      </c>
      <c r="G6" s="31">
        <v>11120.625</v>
      </c>
      <c r="H6" s="31">
        <v>10101.955078125</v>
      </c>
      <c r="I6" s="31">
        <v>9213.705078125</v>
      </c>
      <c r="J6" s="31">
        <v>9280.6396484375</v>
      </c>
      <c r="K6" s="31">
        <v>7223.61962890625</v>
      </c>
      <c r="L6" s="31">
        <v>7271.544921875</v>
      </c>
      <c r="M6" s="31">
        <v>7271.544921875</v>
      </c>
      <c r="N6" s="31">
        <v>6212.3349609375</v>
      </c>
      <c r="O6" s="29">
        <f t="shared" si="0"/>
        <v>-0.31593853090197732</v>
      </c>
      <c r="P6" s="29">
        <f t="shared" si="1"/>
        <v>-0.33061349257500627</v>
      </c>
    </row>
    <row r="7" spans="1:17" ht="18" customHeight="1" x14ac:dyDescent="0.2">
      <c r="A7" s="193"/>
      <c r="B7" s="30" t="s">
        <v>58</v>
      </c>
      <c r="C7" s="31"/>
      <c r="D7" s="31">
        <v>9154.0185546875</v>
      </c>
      <c r="E7" s="31">
        <v>9349.4169921875</v>
      </c>
      <c r="F7" s="31">
        <v>11582.8134765625</v>
      </c>
      <c r="G7" s="31">
        <v>10948.8837890625</v>
      </c>
      <c r="H7" s="31">
        <v>10653.53125</v>
      </c>
      <c r="I7" s="31">
        <v>10781.927734375</v>
      </c>
      <c r="J7" s="31">
        <v>7171.779296875</v>
      </c>
      <c r="K7" s="31">
        <v>5015.685546875</v>
      </c>
      <c r="L7" s="31">
        <v>4485.6904296875</v>
      </c>
      <c r="M7" s="31">
        <v>3054.88330078125</v>
      </c>
      <c r="N7" s="31">
        <v>2401.993896484375</v>
      </c>
      <c r="O7" s="29">
        <f t="shared" si="0"/>
        <v>-0.73760224734803648</v>
      </c>
      <c r="P7" s="29">
        <f t="shared" si="1"/>
        <v>-0.66507699176813639</v>
      </c>
    </row>
    <row r="8" spans="1:17" ht="18" customHeight="1" x14ac:dyDescent="0.2">
      <c r="A8" s="193"/>
      <c r="B8" s="30" t="s">
        <v>59</v>
      </c>
      <c r="C8" s="33"/>
      <c r="D8" s="33">
        <f ca="1">19.908486*OFFSET(D$112,MATCH($N$1,$C$112:$C$113,0)-1,0)</f>
        <v>19.908486</v>
      </c>
      <c r="E8" s="33">
        <f ca="1">17.7755*OFFSET(E$112,MATCH($N$1,$C$112:$C$113,0)-1,0)</f>
        <v>17.775500000000001</v>
      </c>
      <c r="F8" s="33">
        <f ca="1">20.221696*OFFSET(F$112,MATCH($N$1,$C$112:$C$113,0)-1,0)</f>
        <v>20.221696000000001</v>
      </c>
      <c r="G8" s="33">
        <f ca="1">19.949108*OFFSET(G$112,MATCH($N$1,$C$112:$C$113,0)-1,0)</f>
        <v>19.949107999999999</v>
      </c>
      <c r="H8" s="33">
        <f ca="1">21.20571*OFFSET(H$112,MATCH($N$1,$C$112:$C$113,0)-1,0)</f>
        <v>21.20571</v>
      </c>
      <c r="I8" s="33">
        <f ca="1">22.783554*OFFSET(I$112,MATCH($N$1,$C$112:$C$113,0)-1,0)</f>
        <v>22.783553999999999</v>
      </c>
      <c r="J8" s="33">
        <f ca="1">14.641292*OFFSET(J$112,MATCH($N$1,$C$112:$C$113,0)-1,0)</f>
        <v>14.641292</v>
      </c>
      <c r="K8" s="33">
        <f ca="1">12.725837*OFFSET(K$112,MATCH($N$1,$C$112:$C$113,0)-1,0)</f>
        <v>12.725837</v>
      </c>
      <c r="L8" s="33">
        <f ca="1">9.864783*OFFSET(L$112,MATCH($N$1,$C$112:$C$113,0)-1,0)</f>
        <v>9.8647829999999992</v>
      </c>
      <c r="M8" s="33">
        <f ca="1">4.9843105*OFFSET(M$112,MATCH($N$1,$C$112:$C$113,0)-1,0)</f>
        <v>4.9843105000000003</v>
      </c>
      <c r="N8" s="33">
        <v>2.8430784999999998</v>
      </c>
      <c r="O8" s="29">
        <f t="shared" ca="1" si="0"/>
        <v>-0.85719263132314527</v>
      </c>
      <c r="P8" s="29">
        <f t="shared" ca="1" si="1"/>
        <v>-0.80581778575278729</v>
      </c>
    </row>
    <row r="9" spans="1:17" ht="18" customHeight="1" x14ac:dyDescent="0.2">
      <c r="A9" s="193"/>
      <c r="B9" s="30" t="s">
        <v>60</v>
      </c>
      <c r="C9" s="31"/>
      <c r="D9" s="31">
        <v>1883</v>
      </c>
      <c r="E9" s="31">
        <v>1735</v>
      </c>
      <c r="F9" s="31">
        <v>2599</v>
      </c>
      <c r="G9" s="31">
        <v>2461</v>
      </c>
      <c r="H9" s="31">
        <v>2298</v>
      </c>
      <c r="I9" s="31">
        <v>2219</v>
      </c>
      <c r="J9" s="31">
        <v>1713</v>
      </c>
      <c r="K9" s="31">
        <v>1683</v>
      </c>
      <c r="L9" s="31">
        <v>1783</v>
      </c>
      <c r="M9" s="31">
        <v>1700</v>
      </c>
      <c r="N9" s="31">
        <v>1484</v>
      </c>
      <c r="O9" s="29">
        <f t="shared" si="0"/>
        <v>-0.21189591078066913</v>
      </c>
      <c r="P9" s="29">
        <f t="shared" si="1"/>
        <v>-0.13368359603035609</v>
      </c>
    </row>
    <row r="10" spans="1:17" ht="18" customHeight="1" x14ac:dyDescent="0.2">
      <c r="A10" s="193"/>
      <c r="B10" s="30" t="s">
        <v>61</v>
      </c>
      <c r="C10" s="31"/>
      <c r="D10" s="31">
        <v>172.56587219238281</v>
      </c>
      <c r="E10" s="31">
        <v>160.97640991210938</v>
      </c>
      <c r="F10" s="31">
        <v>263.26486206054688</v>
      </c>
      <c r="G10" s="31">
        <v>247.15762329101563</v>
      </c>
      <c r="H10" s="31">
        <v>232.23030090332031</v>
      </c>
      <c r="I10" s="31">
        <v>229.70765686035156</v>
      </c>
      <c r="J10" s="31">
        <v>173.9376220703125</v>
      </c>
      <c r="K10" s="31">
        <v>173.91526794433594</v>
      </c>
      <c r="L10" s="31">
        <v>183.06011962890625</v>
      </c>
      <c r="M10" s="31">
        <v>171.20822143554688</v>
      </c>
      <c r="N10" s="31">
        <v>147.09336853027344</v>
      </c>
      <c r="O10" s="34">
        <f t="shared" si="0"/>
        <v>-0.14761032027069459</v>
      </c>
      <c r="P10" s="34">
        <f t="shared" si="1"/>
        <v>-0.15433264650006281</v>
      </c>
    </row>
    <row r="11" spans="1:17" ht="18" customHeight="1" x14ac:dyDescent="0.2">
      <c r="A11" s="194" t="s">
        <v>27</v>
      </c>
      <c r="B11" s="35" t="s">
        <v>62</v>
      </c>
      <c r="C11" s="36"/>
      <c r="D11" s="36">
        <v>40.852222442626953</v>
      </c>
      <c r="E11" s="36">
        <v>41.240001678466797</v>
      </c>
      <c r="F11" s="36">
        <v>40.977272033691406</v>
      </c>
      <c r="G11" s="36">
        <v>40.977272033691406</v>
      </c>
      <c r="H11" s="36">
        <v>40.873001098632813</v>
      </c>
      <c r="I11" s="36">
        <v>41.358890533447266</v>
      </c>
      <c r="J11" s="36">
        <v>42.068889617919922</v>
      </c>
      <c r="K11" s="36">
        <v>42.271427154541016</v>
      </c>
      <c r="L11" s="36">
        <v>41.950000762939453</v>
      </c>
      <c r="M11" s="36">
        <v>41.950000762939453</v>
      </c>
      <c r="N11" s="36">
        <v>41.584999084472656</v>
      </c>
      <c r="O11" s="29">
        <f t="shared" si="0"/>
        <v>1.7937252811026816E-2</v>
      </c>
      <c r="P11" s="29">
        <f t="shared" si="1"/>
        <v>-1.1502336711096474E-2</v>
      </c>
    </row>
    <row r="12" spans="1:17" ht="18" customHeight="1" x14ac:dyDescent="0.2">
      <c r="A12" s="195"/>
      <c r="B12" s="37" t="s">
        <v>55</v>
      </c>
      <c r="C12" s="31"/>
      <c r="D12" s="31">
        <v>1449.111083984375</v>
      </c>
      <c r="E12" s="31">
        <v>1443.75</v>
      </c>
      <c r="F12" s="31">
        <v>1454.9090576171875</v>
      </c>
      <c r="G12" s="31">
        <v>1454.9090576171875</v>
      </c>
      <c r="H12" s="31">
        <v>1453.4000244140625</v>
      </c>
      <c r="I12" s="31">
        <v>1467.6666259765625</v>
      </c>
      <c r="J12" s="31">
        <v>1465.3333740234375</v>
      </c>
      <c r="K12" s="31">
        <v>1460.857177734375</v>
      </c>
      <c r="L12" s="31">
        <v>1482.142822265625</v>
      </c>
      <c r="M12" s="31">
        <v>1482.142822265625</v>
      </c>
      <c r="N12" s="31">
        <v>1484</v>
      </c>
      <c r="O12" s="29">
        <f t="shared" si="0"/>
        <v>2.4076081123951425E-2</v>
      </c>
      <c r="P12" s="29">
        <f t="shared" si="1"/>
        <v>1.2738825380949751E-2</v>
      </c>
    </row>
    <row r="13" spans="1:17" ht="18" customHeight="1" x14ac:dyDescent="0.2">
      <c r="A13" s="195"/>
      <c r="B13" s="37" t="s">
        <v>56</v>
      </c>
      <c r="C13" s="31"/>
      <c r="D13" s="31">
        <v>443.5555419921875</v>
      </c>
      <c r="E13" s="31">
        <v>452.375</v>
      </c>
      <c r="F13" s="31">
        <v>448.3636474609375</v>
      </c>
      <c r="G13" s="31">
        <v>448.3636474609375</v>
      </c>
      <c r="H13" s="31">
        <v>454.20001220703125</v>
      </c>
      <c r="I13" s="31">
        <v>470</v>
      </c>
      <c r="J13" s="31">
        <v>490.33334350585938</v>
      </c>
      <c r="K13" s="31">
        <v>499.28570556640625</v>
      </c>
      <c r="L13" s="31">
        <v>491.42855834960938</v>
      </c>
      <c r="M13" s="31">
        <v>491.42855834960938</v>
      </c>
      <c r="N13" s="31">
        <v>480.66665649414063</v>
      </c>
      <c r="O13" s="29">
        <f t="shared" si="0"/>
        <v>8.3667344872464189E-2</v>
      </c>
      <c r="P13" s="29">
        <f t="shared" si="1"/>
        <v>-1.971452102890334E-2</v>
      </c>
    </row>
    <row r="14" spans="1:17" ht="18" customHeight="1" x14ac:dyDescent="0.2">
      <c r="A14" s="195"/>
      <c r="B14" s="37" t="s">
        <v>57</v>
      </c>
      <c r="C14" s="31"/>
      <c r="D14" s="31">
        <v>1009.060546875</v>
      </c>
      <c r="E14" s="31">
        <v>1011.1587524414063</v>
      </c>
      <c r="F14" s="31">
        <v>1010.9658813476563</v>
      </c>
      <c r="G14" s="31">
        <v>1010.9658813476563</v>
      </c>
      <c r="H14" s="31">
        <v>1010.1954956054688</v>
      </c>
      <c r="I14" s="31">
        <v>1023.7449951171875</v>
      </c>
      <c r="J14" s="31">
        <v>1031.1822509765625</v>
      </c>
      <c r="K14" s="31">
        <v>1031.9456787109375</v>
      </c>
      <c r="L14" s="31">
        <v>1038.7921142578125</v>
      </c>
      <c r="M14" s="31">
        <v>1038.7921142578125</v>
      </c>
      <c r="N14" s="31">
        <v>1035.38916015625</v>
      </c>
      <c r="O14" s="29">
        <f t="shared" si="0"/>
        <v>2.6092203647034004E-2</v>
      </c>
      <c r="P14" s="29">
        <f t="shared" si="1"/>
        <v>4.079695103075545E-3</v>
      </c>
    </row>
    <row r="15" spans="1:17" ht="18" customHeight="1" x14ac:dyDescent="0.2">
      <c r="A15" s="195"/>
      <c r="B15" s="37" t="s">
        <v>58</v>
      </c>
      <c r="C15" s="33"/>
      <c r="D15" s="33">
        <v>1017.1131591796875</v>
      </c>
      <c r="E15" s="33">
        <v>1168.6771240234375</v>
      </c>
      <c r="F15" s="33">
        <v>1052.9830322265625</v>
      </c>
      <c r="G15" s="33">
        <v>995.35308837890625</v>
      </c>
      <c r="H15" s="33">
        <v>1065.3531494140625</v>
      </c>
      <c r="I15" s="33">
        <v>1197.9920654296875</v>
      </c>
      <c r="J15" s="33">
        <v>796.8643798828125</v>
      </c>
      <c r="K15" s="33">
        <v>716.5264892578125</v>
      </c>
      <c r="L15" s="33">
        <v>640.81292724609375</v>
      </c>
      <c r="M15" s="33">
        <v>436.41192626953125</v>
      </c>
      <c r="N15" s="33">
        <v>400.33230590820313</v>
      </c>
      <c r="O15" s="29">
        <f t="shared" si="0"/>
        <v>-0.60640337577475123</v>
      </c>
      <c r="P15" s="29">
        <f t="shared" si="1"/>
        <v>-0.49761550896894613</v>
      </c>
    </row>
    <row r="16" spans="1:17" ht="18" customHeight="1" x14ac:dyDescent="0.2">
      <c r="A16" s="195"/>
      <c r="B16" s="37" t="s">
        <v>63</v>
      </c>
      <c r="C16" s="33"/>
      <c r="D16" s="33">
        <f ca="1">2212.054*OFFSET(D$112,MATCH($N$1,$C$112:$C$113,0)-1,0)</f>
        <v>2212.0540000000001</v>
      </c>
      <c r="E16" s="33">
        <f ca="1">2221.9375*OFFSET(E$112,MATCH($N$1,$C$112:$C$113,0)-1,0)</f>
        <v>2221.9375</v>
      </c>
      <c r="F16" s="33">
        <f ca="1">1838.335875*OFFSET(F$112,MATCH($N$1,$C$112:$C$113,0)-1,0)</f>
        <v>1838.335875</v>
      </c>
      <c r="G16" s="33">
        <f ca="1">1813.55525*OFFSET(G$112,MATCH($N$1,$C$112:$C$113,0)-1,0)</f>
        <v>1813.5552499999999</v>
      </c>
      <c r="H16" s="33">
        <f ca="1">2120.571*OFFSET(H$112,MATCH($N$1,$C$112:$C$113,0)-1,0)</f>
        <v>2120.5709999999999</v>
      </c>
      <c r="I16" s="33">
        <f ca="1">2531.506*OFFSET(I$112,MATCH($N$1,$C$112:$C$113,0)-1,0)</f>
        <v>2531.5059999999999</v>
      </c>
      <c r="J16" s="33">
        <f ca="1">1626.81025*OFFSET(J$112,MATCH($N$1,$C$112:$C$113,0)-1,0)</f>
        <v>1626.81025</v>
      </c>
      <c r="K16" s="33">
        <f ca="1">1817.97675*OFFSET(K$112,MATCH($N$1,$C$112:$C$113,0)-1,0)</f>
        <v>1817.97675</v>
      </c>
      <c r="L16" s="33">
        <f ca="1">1409.25475*OFFSET(L$112,MATCH($N$1,$C$112:$C$113,0)-1,0)</f>
        <v>1409.2547500000001</v>
      </c>
      <c r="M16" s="33">
        <f ca="1">712.0443125*OFFSET(M$112,MATCH($N$1,$C$112:$C$113,0)-1,0)</f>
        <v>712.04431250000005</v>
      </c>
      <c r="N16" s="33">
        <v>473.84643750000004</v>
      </c>
      <c r="O16" s="29">
        <f t="shared" ca="1" si="0"/>
        <v>-0.7857889375666236</v>
      </c>
      <c r="P16" s="29">
        <f t="shared" ca="1" si="1"/>
        <v>-0.70872667079642504</v>
      </c>
    </row>
    <row r="17" spans="1:16" ht="18" customHeight="1" x14ac:dyDescent="0.2">
      <c r="A17" s="195"/>
      <c r="B17" s="37" t="s">
        <v>60</v>
      </c>
      <c r="C17" s="31"/>
      <c r="D17" s="31">
        <v>209.22222900390625</v>
      </c>
      <c r="E17" s="31">
        <v>216.875</v>
      </c>
      <c r="F17" s="31">
        <v>236.27272033691406</v>
      </c>
      <c r="G17" s="31">
        <v>223.72727966308594</v>
      </c>
      <c r="H17" s="31">
        <v>229.80000305175781</v>
      </c>
      <c r="I17" s="31">
        <v>246.55555725097656</v>
      </c>
      <c r="J17" s="31">
        <v>190.33332824707031</v>
      </c>
      <c r="K17" s="31">
        <v>240.42857360839844</v>
      </c>
      <c r="L17" s="31">
        <v>254.71427917480469</v>
      </c>
      <c r="M17" s="31">
        <v>242.85714721679688</v>
      </c>
      <c r="N17" s="31">
        <v>247.33332824707031</v>
      </c>
      <c r="O17" s="29">
        <f t="shared" si="0"/>
        <v>0.18215607120050573</v>
      </c>
      <c r="P17" s="29">
        <f t="shared" si="1"/>
        <v>0.2994746139573029</v>
      </c>
    </row>
    <row r="18" spans="1:16" ht="18" customHeight="1" x14ac:dyDescent="0.2">
      <c r="A18" s="195"/>
      <c r="B18" s="37" t="s">
        <v>64</v>
      </c>
      <c r="C18" s="31"/>
      <c r="D18" s="31">
        <v>24</v>
      </c>
      <c r="E18" s="31">
        <v>25</v>
      </c>
      <c r="F18" s="31">
        <v>23.636363983154297</v>
      </c>
      <c r="G18" s="31">
        <v>24.636363983154297</v>
      </c>
      <c r="H18" s="31">
        <v>24.600000381469727</v>
      </c>
      <c r="I18" s="31">
        <v>25.111110687255859</v>
      </c>
      <c r="J18" s="31">
        <v>25.44444465637207</v>
      </c>
      <c r="K18" s="31">
        <v>27</v>
      </c>
      <c r="L18" s="31">
        <v>28.571428298950195</v>
      </c>
      <c r="M18" s="31">
        <v>29.571428298950195</v>
      </c>
      <c r="N18" s="31">
        <v>31</v>
      </c>
      <c r="O18" s="29">
        <f t="shared" si="0"/>
        <v>0.29166666666666669</v>
      </c>
      <c r="P18" s="29">
        <f t="shared" si="1"/>
        <v>0.21834060120611232</v>
      </c>
    </row>
    <row r="19" spans="1:16" ht="18" customHeight="1" x14ac:dyDescent="0.2">
      <c r="A19" s="195"/>
      <c r="B19" s="37" t="s">
        <v>65</v>
      </c>
      <c r="C19" s="38"/>
      <c r="D19" s="38">
        <v>4.8614010810852051</v>
      </c>
      <c r="E19" s="38">
        <v>5.3887128829956055</v>
      </c>
      <c r="F19" s="38">
        <v>4.4566426277160645</v>
      </c>
      <c r="G19" s="38">
        <v>4.4489569664001465</v>
      </c>
      <c r="H19" s="38">
        <v>4.6360015869140625</v>
      </c>
      <c r="I19" s="38">
        <v>4.8589134216308594</v>
      </c>
      <c r="J19" s="38">
        <v>4.1866779327392578</v>
      </c>
      <c r="K19" s="38">
        <v>2.9802052974700928</v>
      </c>
      <c r="L19" s="38">
        <v>2.5158107280731201</v>
      </c>
      <c r="M19" s="38">
        <v>1.7969902753829956</v>
      </c>
      <c r="N19" s="38">
        <v>1.6185942888259888</v>
      </c>
      <c r="O19" s="29">
        <f t="shared" si="0"/>
        <v>-0.66705189268920151</v>
      </c>
      <c r="P19" s="29">
        <f t="shared" si="1"/>
        <v>-0.61339412421270834</v>
      </c>
    </row>
    <row r="20" spans="1:16" ht="18" customHeight="1" x14ac:dyDescent="0.2">
      <c r="A20" s="196"/>
      <c r="B20" s="39" t="s">
        <v>28</v>
      </c>
      <c r="C20" s="40"/>
      <c r="D20" s="40">
        <f ca="1">2175*OFFSET(D$112,MATCH($N$1,$C$112:$C$113,0)-1,0)</f>
        <v>2175</v>
      </c>
      <c r="E20" s="40">
        <f ca="1">1901*OFFSET(E$112,MATCH($N$1,$C$112:$C$113,0)-1,0)</f>
        <v>1901</v>
      </c>
      <c r="F20" s="40">
        <f ca="1">1746*OFFSET(F$112,MATCH($N$1,$C$112:$C$113,0)-1,0)</f>
        <v>1746</v>
      </c>
      <c r="G20" s="40">
        <f ca="1">1822*OFFSET(G$112,MATCH($N$1,$C$112:$C$113,0)-1,0)</f>
        <v>1822</v>
      </c>
      <c r="H20" s="40">
        <f ca="1">1990*OFFSET(H$112,MATCH($N$1,$C$112:$C$113,0)-1,0)</f>
        <v>1990</v>
      </c>
      <c r="I20" s="40">
        <f ca="1">2113*OFFSET(I$112,MATCH($N$1,$C$112:$C$113,0)-1,0)</f>
        <v>2113</v>
      </c>
      <c r="J20" s="40">
        <f ca="1">2042*OFFSET(J$112,MATCH($N$1,$C$112:$C$113,0)-1,0)</f>
        <v>2042</v>
      </c>
      <c r="K20" s="40">
        <f ca="1">2537*OFFSET(K$112,MATCH($N$1,$C$112:$C$113,0)-1,0)</f>
        <v>2537</v>
      </c>
      <c r="L20" s="40">
        <f ca="1">2199*OFFSET(L$112,MATCH($N$1,$C$112:$C$113,0)-1,0)</f>
        <v>2199</v>
      </c>
      <c r="M20" s="40">
        <f ca="1">1632*OFFSET(M$112,MATCH($N$1,$C$112:$C$113,0)-1,0)</f>
        <v>1632</v>
      </c>
      <c r="N20" s="40">
        <v>1184</v>
      </c>
      <c r="O20" s="34">
        <f t="shared" ca="1" si="0"/>
        <v>-0.455632183908046</v>
      </c>
      <c r="P20" s="34">
        <f t="shared" ca="1" si="1"/>
        <v>-0.42017629774730658</v>
      </c>
    </row>
    <row r="21" spans="1:16" ht="18" customHeight="1" x14ac:dyDescent="0.2">
      <c r="A21" s="197" t="s">
        <v>29</v>
      </c>
      <c r="B21" s="35" t="s">
        <v>66</v>
      </c>
      <c r="C21" s="41"/>
      <c r="D21" s="41">
        <v>3.3281555950026775</v>
      </c>
      <c r="E21" s="41">
        <v>3.6989979213846667</v>
      </c>
      <c r="F21" s="41">
        <v>3.0654884837860195</v>
      </c>
      <c r="G21" s="41">
        <v>3.0560596484096374</v>
      </c>
      <c r="H21" s="41">
        <v>3.1873325317702004</v>
      </c>
      <c r="I21" s="41">
        <v>3.3147402027274158</v>
      </c>
      <c r="J21" s="41">
        <v>2.8714924850069496</v>
      </c>
      <c r="K21" s="41">
        <v>2.038167439492141</v>
      </c>
      <c r="L21" s="41">
        <v>1.698740415545378</v>
      </c>
      <c r="M21" s="41">
        <v>1.2132909662062246</v>
      </c>
      <c r="N21" s="41">
        <v>1.0916327793574616</v>
      </c>
      <c r="O21" s="29">
        <f t="shared" si="0"/>
        <v>-0.67200067779385686</v>
      </c>
      <c r="P21" s="29">
        <f t="shared" si="1"/>
        <v>-0.61983784214750626</v>
      </c>
    </row>
    <row r="22" spans="1:16" ht="18" customHeight="1" x14ac:dyDescent="0.2">
      <c r="A22" s="197"/>
      <c r="B22" s="37" t="s">
        <v>67</v>
      </c>
      <c r="C22" s="38"/>
      <c r="D22" s="38">
        <f ca="1">7.23819157200329*OFFSET(D$112,MATCH($N$1,$C$112:$C$113,0)-1,0)</f>
        <v>7.2381915720032897</v>
      </c>
      <c r="E22" s="38">
        <f ca="1">7.0326885202057*OFFSET(E$112,MATCH($N$1,$C$112:$C$113,0)-1,0)</f>
        <v>7.0326885202057001</v>
      </c>
      <c r="F22" s="38">
        <f ca="1">5.35184070556862*OFFSET(F$112,MATCH($N$1,$C$112:$C$113,0)-1,0)</f>
        <v>5.3518407055686197</v>
      </c>
      <c r="G22" s="38">
        <f ca="1">5.56820799010434*OFFSET(G$112,MATCH($N$1,$C$112:$C$113,0)-1,0)</f>
        <v>5.56820799010434</v>
      </c>
      <c r="H22" s="38">
        <f ca="1">6.34434219108082*OFFSET(H$112,MATCH($N$1,$C$112:$C$113,0)-1,0)</f>
        <v>6.3443421910808198</v>
      </c>
      <c r="I22" s="38">
        <f ca="1">7.00445767029011*OFFSET(I$112,MATCH($N$1,$C$112:$C$113,0)-1,0)</f>
        <v>7.00445767029011</v>
      </c>
      <c r="J22" s="38">
        <f ca="1">5.86219377517446*OFFSET(J$112,MATCH($N$1,$C$112:$C$113,0)-1,0)</f>
        <v>5.8621937751744602</v>
      </c>
      <c r="K22" s="38">
        <f ca="1">5.17125475911126*OFFSET(K$112,MATCH($N$1,$C$112:$C$113,0)-1,0)</f>
        <v>5.1712547591112603</v>
      </c>
      <c r="L22" s="38">
        <f ca="1">3.73581414768329*OFFSET(L$112,MATCH($N$1,$C$112:$C$113,0)-1,0)</f>
        <v>3.73581414768329</v>
      </c>
      <c r="M22" s="38">
        <f ca="1">1.979590565454*OFFSET(M$112,MATCH($N$1,$C$112:$C$113,0)-1,0)</f>
        <v>1.979590565454</v>
      </c>
      <c r="N22" s="38">
        <v>1.2920923341004777</v>
      </c>
      <c r="O22" s="29">
        <f t="shared" ca="1" si="0"/>
        <v>-0.82148961916147945</v>
      </c>
      <c r="P22" s="29">
        <f t="shared" ca="1" si="1"/>
        <v>-0.77958894167362713</v>
      </c>
    </row>
    <row r="23" spans="1:16" ht="18" customHeight="1" x14ac:dyDescent="0.2">
      <c r="A23" s="197"/>
      <c r="B23" s="37" t="s">
        <v>11</v>
      </c>
      <c r="C23" s="38"/>
      <c r="D23" s="38">
        <f ca="1">6.82631355343696*OFFSET(D$112,MATCH($N$1,$C$112:$C$113,0)-1,0)</f>
        <v>6.8263135534369601</v>
      </c>
      <c r="E23" s="38">
        <f ca="1">7.04000242953514*OFFSET(E$112,MATCH($N$1,$C$112:$C$113,0)-1,0)</f>
        <v>7.0400024295351402</v>
      </c>
      <c r="F23" s="38">
        <f ca="1">5.71790481298363*OFFSET(F$112,MATCH($N$1,$C$112:$C$113,0)-1,0)</f>
        <v>5.7179048129836296</v>
      </c>
      <c r="G23" s="38">
        <f ca="1">5.7013196701015*OFFSET(G$112,MATCH($N$1,$C$112:$C$113,0)-1,0)</f>
        <v>5.7013196701015003</v>
      </c>
      <c r="H23" s="38">
        <f ca="1">6.07188842340297*OFFSET(H$112,MATCH($N$1,$C$112:$C$113,0)-1,0)</f>
        <v>6.07188842340297</v>
      </c>
      <c r="I23" s="38">
        <f ca="1">6.1918399737956*OFFSET(I$112,MATCH($N$1,$C$112:$C$113,0)-1,0)</f>
        <v>6.1918399737955996</v>
      </c>
      <c r="J23" s="38">
        <f ca="1">5.79579117485134*OFFSET(J$112,MATCH($N$1,$C$112:$C$113,0)-1,0)</f>
        <v>5.79579117485134</v>
      </c>
      <c r="K23" s="38">
        <f ca="1">6.2255485394903*OFFSET(K$112,MATCH($N$1,$C$112:$C$113,0)-1,0)</f>
        <v>6.2255485394903003</v>
      </c>
      <c r="L23" s="38">
        <f ca="1">4.18258161607216*OFFSET(L$112,MATCH($N$1,$C$112:$C$113,0)-1,0)</f>
        <v>4.1825816160721603</v>
      </c>
      <c r="M23" s="38">
        <f ca="1">2.95339130396631*OFFSET(M$112,MATCH($N$1,$C$112:$C$113,0)-1,0)</f>
        <v>2.9533913039663102</v>
      </c>
      <c r="N23" s="38">
        <v>3.0107729840176165</v>
      </c>
      <c r="O23" s="29">
        <f t="shared" ca="1" si="0"/>
        <v>-0.55894598739875767</v>
      </c>
      <c r="P23" s="29">
        <f t="shared" ca="1" si="1"/>
        <v>-0.48052424713268904</v>
      </c>
    </row>
    <row r="24" spans="1:16" ht="18" customHeight="1" x14ac:dyDescent="0.2">
      <c r="A24" s="197"/>
      <c r="B24" s="37" t="s">
        <v>12</v>
      </c>
      <c r="C24" s="38"/>
      <c r="D24" s="38">
        <f ca="1">0.433211510186076*OFFSET(D$112,MATCH($N$1,$C$112:$C$113,0)-1,0)</f>
        <v>0.43321151018607601</v>
      </c>
      <c r="E24" s="38">
        <f ca="1">0.0134138918248631*OFFSET(E$112,MATCH($N$1,$C$112:$C$113,0)-1,0)</f>
        <v>1.34138918248631E-2</v>
      </c>
      <c r="F24" s="38">
        <f ca="1">-0.294044362962014*OFFSET(F$112,MATCH($N$1,$C$112:$C$113,0)-1,0)</f>
        <v>-0.29404436296201403</v>
      </c>
      <c r="G24" s="38">
        <f ca="1">-0.110044592184751*OFFSET(G$112,MATCH($N$1,$C$112:$C$113,0)-1,0)</f>
        <v>-0.110044592184751</v>
      </c>
      <c r="H24" s="38">
        <f ca="1">0.465924423927287*OFFSET(H$112,MATCH($N$1,$C$112:$C$113,0)-1,0)</f>
        <v>0.465924423927287</v>
      </c>
      <c r="I24" s="38">
        <f ca="1">0.884311376665617*OFFSET(I$112,MATCH($N$1,$C$112:$C$113,0)-1,0)</f>
        <v>0.88431137666561699</v>
      </c>
      <c r="J24" s="38">
        <f ca="1">0.245170141575475*OFFSET(J$112,MATCH($N$1,$C$112:$C$113,0)-1,0)</f>
        <v>0.24517014157547501</v>
      </c>
      <c r="K24" s="38">
        <f ca="1">-0.164540179917095*OFFSET(K$112,MATCH($N$1,$C$112:$C$113,0)-1,0)</f>
        <v>-0.16454017991709499</v>
      </c>
      <c r="L24" s="38">
        <f ca="1">-0.332843859880933*OFFSET(L$112,MATCH($N$1,$C$112:$C$113,0)-1,0)</f>
        <v>-0.33284385988093301</v>
      </c>
      <c r="M24" s="38">
        <f ca="1">-0.913433141326273*OFFSET(M$112,MATCH($N$1,$C$112:$C$113,0)-1,0)</f>
        <v>-0.91343314132627296</v>
      </c>
      <c r="N24" s="38">
        <v>-1.6792783070831787</v>
      </c>
      <c r="O24" s="29">
        <f t="shared" ca="1" si="0"/>
        <v>-4.8763473905896069</v>
      </c>
      <c r="P24" s="29">
        <f t="shared" ca="1" si="1"/>
        <v>-7.8494405407283949</v>
      </c>
    </row>
    <row r="25" spans="1:16" ht="18" customHeight="1" x14ac:dyDescent="0.2">
      <c r="A25" s="197"/>
      <c r="B25" s="37" t="s">
        <v>68</v>
      </c>
      <c r="C25" s="33"/>
      <c r="D25" s="33">
        <f ca="1">115.37*OFFSET(D$112,MATCH($N$1,$C$112:$C$113,0)-1,0)</f>
        <v>115.37</v>
      </c>
      <c r="E25" s="33">
        <f ca="1">110.42*OFFSET(E$112,MATCH($N$1,$C$112:$C$113,0)-1,0)</f>
        <v>110.42</v>
      </c>
      <c r="F25" s="33">
        <f ca="1">76.81*OFFSET(F$112,MATCH($N$1,$C$112:$C$113,0)-1,0)</f>
        <v>76.81</v>
      </c>
      <c r="G25" s="33">
        <f ca="1">80.72*OFFSET(G$112,MATCH($N$1,$C$112:$C$113,0)-1,0)</f>
        <v>80.72</v>
      </c>
      <c r="H25" s="33">
        <f ca="1">91.31*OFFSET(H$112,MATCH($N$1,$C$112:$C$113,0)-1,0)</f>
        <v>91.31</v>
      </c>
      <c r="I25" s="33">
        <f ca="1">99.18*OFFSET(I$112,MATCH($N$1,$C$112:$C$113,0)-1,0)</f>
        <v>99.18</v>
      </c>
      <c r="J25" s="33">
        <f ca="1">84.18*OFFSET(J$112,MATCH($N$1,$C$112:$C$113,0)-1,0)</f>
        <v>84.18</v>
      </c>
      <c r="K25" s="33">
        <f ca="1">73.17*OFFSET(K$112,MATCH($N$1,$C$112:$C$113,0)-1,0)</f>
        <v>73.17</v>
      </c>
      <c r="L25" s="33">
        <f ca="1">53.89*OFFSET(L$112,MATCH($N$1,$C$112:$C$113,0)-1,0)</f>
        <v>53.89</v>
      </c>
      <c r="M25" s="33">
        <f ca="1">29.11*OFFSET(M$112,MATCH($N$1,$C$112:$C$113,0)-1,0)</f>
        <v>29.11</v>
      </c>
      <c r="N25" s="33">
        <v>19.329999999999998</v>
      </c>
      <c r="O25" s="29">
        <f t="shared" ca="1" si="0"/>
        <v>-0.83245211060067614</v>
      </c>
      <c r="P25" s="29">
        <f t="shared" ca="1" si="1"/>
        <v>-0.77037301021620341</v>
      </c>
    </row>
    <row r="26" spans="1:16" ht="18" customHeight="1" x14ac:dyDescent="0.2">
      <c r="A26" s="198"/>
      <c r="B26" s="37" t="s">
        <v>69</v>
      </c>
      <c r="C26" s="33"/>
      <c r="D26" s="33">
        <f ca="1">6.91*OFFSET(D$112,MATCH($N$1,$C$112:$C$113,0)-1,0)</f>
        <v>6.91</v>
      </c>
      <c r="E26" s="33">
        <f ca="1">0.21*OFFSET(E$112,MATCH($N$1,$C$112:$C$113,0)-1,0)</f>
        <v>0.21</v>
      </c>
      <c r="F26" s="33">
        <f ca="1">-4.22*OFFSET(F$112,MATCH($N$1,$C$112:$C$113,0)-1,0)</f>
        <v>-4.22</v>
      </c>
      <c r="G26" s="33">
        <f ca="1">-1.59*OFFSET(G$112,MATCH($N$1,$C$112:$C$113,0)-1,0)</f>
        <v>-1.59</v>
      </c>
      <c r="H26" s="33">
        <f ca="1">6.7*OFFSET(H$112,MATCH($N$1,$C$112:$C$113,0)-1,0)</f>
        <v>6.7</v>
      </c>
      <c r="I26" s="33">
        <f ca="1">12.52*OFFSET(I$112,MATCH($N$1,$C$112:$C$113,0)-1,0)</f>
        <v>12.52</v>
      </c>
      <c r="J26" s="33">
        <f ca="1">3.52*OFFSET(J$112,MATCH($N$1,$C$112:$C$113,0)-1,0)</f>
        <v>3.52</v>
      </c>
      <c r="K26" s="33">
        <f ca="1">-2.33*OFFSET(K$112,MATCH($N$1,$C$112:$C$113,0)-1,0)</f>
        <v>-2.33</v>
      </c>
      <c r="L26" s="33">
        <f ca="1">-4.8*OFFSET(L$112,MATCH($N$1,$C$112:$C$113,0)-1,0)</f>
        <v>-4.8</v>
      </c>
      <c r="M26" s="33">
        <f ca="1">-13.44*OFFSET(M$112,MATCH($N$1,$C$112:$C$113,0)-1,0)</f>
        <v>-13.44</v>
      </c>
      <c r="N26" s="33">
        <v>-25.12</v>
      </c>
      <c r="O26" s="34">
        <f t="shared" ca="1" si="0"/>
        <v>-4.6353111432706227</v>
      </c>
      <c r="P26" s="34">
        <f t="shared" ca="1" si="1"/>
        <v>-8.1363636363636367</v>
      </c>
    </row>
    <row r="27" spans="1:16" ht="18" customHeight="1" x14ac:dyDescent="0.2">
      <c r="A27" s="187" t="s">
        <v>30</v>
      </c>
      <c r="B27" s="35" t="s">
        <v>63</v>
      </c>
      <c r="C27" s="36"/>
      <c r="D27" s="36">
        <f ca="1">2212.1*OFFSET(D$112,MATCH($N$1,$C$112:$C$113,0)-1,0)</f>
        <v>2212.1</v>
      </c>
      <c r="E27" s="36">
        <f ca="1">2221.9*OFFSET(E$112,MATCH($N$1,$C$112:$C$113,0)-1,0)</f>
        <v>2221.9</v>
      </c>
      <c r="F27" s="36">
        <f ca="1">1838.3*OFFSET(F$112,MATCH($N$1,$C$112:$C$113,0)-1,0)</f>
        <v>1838.3</v>
      </c>
      <c r="G27" s="36">
        <f ca="1">1813.6*OFFSET(G$112,MATCH($N$1,$C$112:$C$113,0)-1,0)</f>
        <v>1813.6</v>
      </c>
      <c r="H27" s="36">
        <f ca="1">2120.6*OFFSET(H$112,MATCH($N$1,$C$112:$C$113,0)-1,0)</f>
        <v>2120.6</v>
      </c>
      <c r="I27" s="36">
        <f ca="1">2531.5*OFFSET(I$112,MATCH($N$1,$C$112:$C$113,0)-1,0)</f>
        <v>2531.5</v>
      </c>
      <c r="J27" s="36">
        <f ca="1">1626.8*OFFSET(J$112,MATCH($N$1,$C$112:$C$113,0)-1,0)</f>
        <v>1626.8</v>
      </c>
      <c r="K27" s="36">
        <f ca="1">1818*OFFSET(K$112,MATCH($N$1,$C$112:$C$113,0)-1,0)</f>
        <v>1818</v>
      </c>
      <c r="L27" s="36">
        <f ca="1">1409.3*OFFSET(L$112,MATCH($N$1,$C$112:$C$113,0)-1,0)</f>
        <v>1409.3</v>
      </c>
      <c r="M27" s="36">
        <f ca="1">712*OFFSET(M$112,MATCH($N$1,$C$112:$C$113,0)-1,0)</f>
        <v>712</v>
      </c>
      <c r="N27" s="36">
        <v>473.8</v>
      </c>
      <c r="O27" s="29">
        <f t="shared" ca="1" si="0"/>
        <v>-0.78581438452149543</v>
      </c>
      <c r="P27" s="29">
        <f t="shared" ca="1" si="1"/>
        <v>-0.7087533808704205</v>
      </c>
    </row>
    <row r="28" spans="1:16" ht="18" customHeight="1" x14ac:dyDescent="0.2">
      <c r="A28" s="199"/>
      <c r="B28" s="37" t="s">
        <v>70</v>
      </c>
      <c r="C28" s="33"/>
      <c r="D28" s="33">
        <f ca="1">6.5*OFFSET(D$112,MATCH($N$1,$C$112:$C$113,0)-1,0)</f>
        <v>6.5</v>
      </c>
      <c r="E28" s="33">
        <f ca="1">6.5*OFFSET(E$112,MATCH($N$1,$C$112:$C$113,0)-1,0)</f>
        <v>6.5</v>
      </c>
      <c r="F28" s="33">
        <f ca="1">24.7*OFFSET(F$112,MATCH($N$1,$C$112:$C$113,0)-1,0)</f>
        <v>24.7</v>
      </c>
      <c r="G28" s="33">
        <f ca="1">7.5*OFFSET(G$112,MATCH($N$1,$C$112:$C$113,0)-1,0)</f>
        <v>7.5</v>
      </c>
      <c r="H28" s="33">
        <f ca="1">64.7*OFFSET(H$112,MATCH($N$1,$C$112:$C$113,0)-1,0)</f>
        <v>64.7</v>
      </c>
      <c r="I28" s="33">
        <f ca="1">25.9*OFFSET(I$112,MATCH($N$1,$C$112:$C$113,0)-1,0)</f>
        <v>25.9</v>
      </c>
      <c r="J28" s="33">
        <f ca="1">49.6*OFFSET(J$112,MATCH($N$1,$C$112:$C$113,0)-1,0)</f>
        <v>49.6</v>
      </c>
      <c r="K28" s="33">
        <f ca="1">312.8*OFFSET(K$112,MATCH($N$1,$C$112:$C$113,0)-1,0)</f>
        <v>312.8</v>
      </c>
      <c r="L28" s="33">
        <f ca="1">43*OFFSET(L$112,MATCH($N$1,$C$112:$C$113,0)-1,0)</f>
        <v>43</v>
      </c>
      <c r="M28" s="33">
        <f ca="1">21.7*OFFSET(M$112,MATCH($N$1,$C$112:$C$113,0)-1,0)</f>
        <v>21.7</v>
      </c>
      <c r="N28" s="33">
        <v>14.4</v>
      </c>
      <c r="O28" s="29">
        <f t="shared" ca="1" si="0"/>
        <v>1.2153846153846155</v>
      </c>
      <c r="P28" s="29">
        <f t="shared" ca="1" si="1"/>
        <v>-0.70967741935483875</v>
      </c>
    </row>
    <row r="29" spans="1:16" ht="18" customHeight="1" x14ac:dyDescent="0.2">
      <c r="A29" s="199"/>
      <c r="B29" s="42" t="s">
        <v>71</v>
      </c>
      <c r="C29" s="43"/>
      <c r="D29" s="43">
        <f ca="1">2218.6*OFFSET(D$112,MATCH($N$1,$C$112:$C$113,0)-1,0)</f>
        <v>2218.6</v>
      </c>
      <c r="E29" s="43">
        <f ca="1">2228.5*OFFSET(E$112,MATCH($N$1,$C$112:$C$113,0)-1,0)</f>
        <v>2228.5</v>
      </c>
      <c r="F29" s="43">
        <f ca="1">1863.1*OFFSET(F$112,MATCH($N$1,$C$112:$C$113,0)-1,0)</f>
        <v>1863.1</v>
      </c>
      <c r="G29" s="43">
        <f ca="1">1821.1*OFFSET(G$112,MATCH($N$1,$C$112:$C$113,0)-1,0)</f>
        <v>1821.1</v>
      </c>
      <c r="H29" s="43">
        <f ca="1">2185.2*OFFSET(H$112,MATCH($N$1,$C$112:$C$113,0)-1,0)</f>
        <v>2185.1999999999998</v>
      </c>
      <c r="I29" s="43">
        <f ca="1">2557.4*OFFSET(I$112,MATCH($N$1,$C$112:$C$113,0)-1,0)</f>
        <v>2557.4</v>
      </c>
      <c r="J29" s="43">
        <f ca="1">1676.4*OFFSET(J$112,MATCH($N$1,$C$112:$C$113,0)-1,0)</f>
        <v>1676.4</v>
      </c>
      <c r="K29" s="43">
        <f ca="1">2130.8*OFFSET(K$112,MATCH($N$1,$C$112:$C$113,0)-1,0)</f>
        <v>2130.8000000000002</v>
      </c>
      <c r="L29" s="43">
        <f ca="1">1452.2*OFFSET(L$112,MATCH($N$1,$C$112:$C$113,0)-1,0)</f>
        <v>1452.2</v>
      </c>
      <c r="M29" s="43">
        <f ca="1">733.8*OFFSET(M$112,MATCH($N$1,$C$112:$C$113,0)-1,0)</f>
        <v>733.8</v>
      </c>
      <c r="N29" s="43">
        <v>488.3</v>
      </c>
      <c r="O29" s="29">
        <f t="shared" ca="1" si="0"/>
        <v>-0.77990624718290813</v>
      </c>
      <c r="P29" s="29">
        <f t="shared" ca="1" si="1"/>
        <v>-0.70872106895728948</v>
      </c>
    </row>
    <row r="30" spans="1:16" ht="18" customHeight="1" x14ac:dyDescent="0.2">
      <c r="A30" s="199"/>
      <c r="B30" s="37" t="s">
        <v>72</v>
      </c>
      <c r="C30" s="33"/>
      <c r="D30" s="33">
        <f ca="1">899*OFFSET(D$112,MATCH($N$1,$C$112:$C$113,0)-1,0)</f>
        <v>899</v>
      </c>
      <c r="E30" s="33">
        <f ca="1">947.6*OFFSET(E$112,MATCH($N$1,$C$112:$C$113,0)-1,0)</f>
        <v>947.6</v>
      </c>
      <c r="F30" s="33">
        <f ca="1">982.3*OFFSET(F$112,MATCH($N$1,$C$112:$C$113,0)-1,0)</f>
        <v>982.3</v>
      </c>
      <c r="G30" s="33">
        <f ca="1">840.2*OFFSET(G$112,MATCH($N$1,$C$112:$C$113,0)-1,0)</f>
        <v>840.2</v>
      </c>
      <c r="H30" s="33">
        <f ca="1">598.9*OFFSET(H$112,MATCH($N$1,$C$112:$C$113,0)-1,0)</f>
        <v>598.9</v>
      </c>
      <c r="I30" s="33">
        <f ca="1">600.6*OFFSET(I$112,MATCH($N$1,$C$112:$C$113,0)-1,0)</f>
        <v>600.6</v>
      </c>
      <c r="J30" s="33">
        <f ca="1">563.8*OFFSET(J$112,MATCH($N$1,$C$112:$C$113,0)-1,0)</f>
        <v>563.79999999999995</v>
      </c>
      <c r="K30" s="33">
        <f ca="1">845.5*OFFSET(K$112,MATCH($N$1,$C$112:$C$113,0)-1,0)</f>
        <v>845.5</v>
      </c>
      <c r="L30" s="33">
        <f ca="1">862.4*OFFSET(L$112,MATCH($N$1,$C$112:$C$113,0)-1,0)</f>
        <v>862.4</v>
      </c>
      <c r="M30" s="33">
        <f ca="1">581.9*OFFSET(M$112,MATCH($N$1,$C$112:$C$113,0)-1,0)</f>
        <v>581.9</v>
      </c>
      <c r="N30" s="33">
        <v>729.7</v>
      </c>
      <c r="O30" s="29">
        <f t="shared" ca="1" si="0"/>
        <v>-0.18832035595105667</v>
      </c>
      <c r="P30" s="29">
        <f t="shared" ca="1" si="1"/>
        <v>0.29425328130542766</v>
      </c>
    </row>
    <row r="31" spans="1:16" ht="18" customHeight="1" x14ac:dyDescent="0.2">
      <c r="A31" s="199"/>
      <c r="B31" s="37" t="s">
        <v>73</v>
      </c>
      <c r="C31" s="33"/>
      <c r="D31" s="33">
        <f ca="1">257.6*OFFSET(D$112,MATCH($N$1,$C$112:$C$113,0)-1,0)</f>
        <v>257.60000000000002</v>
      </c>
      <c r="E31" s="33">
        <f ca="1">241.5*OFFSET(E$112,MATCH($N$1,$C$112:$C$113,0)-1,0)</f>
        <v>241.5</v>
      </c>
      <c r="F31" s="33">
        <f ca="1">195.9*OFFSET(F$112,MATCH($N$1,$C$112:$C$113,0)-1,0)</f>
        <v>195.9</v>
      </c>
      <c r="G31" s="33">
        <f ca="1">263.2*OFFSET(G$112,MATCH($N$1,$C$112:$C$113,0)-1,0)</f>
        <v>263.2</v>
      </c>
      <c r="H31" s="33">
        <f ca="1">463.3*OFFSET(H$112,MATCH($N$1,$C$112:$C$113,0)-1,0)</f>
        <v>463.3</v>
      </c>
      <c r="I31" s="33">
        <f ca="1">584*OFFSET(I$112,MATCH($N$1,$C$112:$C$113,0)-1,0)</f>
        <v>584</v>
      </c>
      <c r="J31" s="33">
        <f ca="1">302.6*OFFSET(J$112,MATCH($N$1,$C$112:$C$113,0)-1,0)</f>
        <v>302.60000000000002</v>
      </c>
      <c r="K31" s="33">
        <f ca="1">373.1*OFFSET(K$112,MATCH($N$1,$C$112:$C$113,0)-1,0)</f>
        <v>373.1</v>
      </c>
      <c r="L31" s="33">
        <f ca="1">72.5*OFFSET(L$112,MATCH($N$1,$C$112:$C$113,0)-1,0)</f>
        <v>72.5</v>
      </c>
      <c r="M31" s="33">
        <f ca="1">155.6*OFFSET(M$112,MATCH($N$1,$C$112:$C$113,0)-1,0)</f>
        <v>155.6</v>
      </c>
      <c r="N31" s="33">
        <v>103.5</v>
      </c>
      <c r="O31" s="29">
        <f t="shared" ca="1" si="0"/>
        <v>-0.5982142857142857</v>
      </c>
      <c r="P31" s="29">
        <f t="shared" ca="1" si="1"/>
        <v>-0.65796430931923333</v>
      </c>
    </row>
    <row r="32" spans="1:16" ht="18" customHeight="1" x14ac:dyDescent="0.2">
      <c r="A32" s="199"/>
      <c r="B32" s="37" t="s">
        <v>74</v>
      </c>
      <c r="C32" s="33"/>
      <c r="D32" s="33">
        <f ca="1">611*OFFSET(D$112,MATCH($N$1,$C$112:$C$113,0)-1,0)</f>
        <v>611</v>
      </c>
      <c r="E32" s="33">
        <f ca="1">680.4*OFFSET(E$112,MATCH($N$1,$C$112:$C$113,0)-1,0)</f>
        <v>680.4</v>
      </c>
      <c r="F32" s="33">
        <f ca="1">489.5*OFFSET(F$112,MATCH($N$1,$C$112:$C$113,0)-1,0)</f>
        <v>489.5</v>
      </c>
      <c r="G32" s="33">
        <f ca="1">479.5*OFFSET(G$112,MATCH($N$1,$C$112:$C$113,0)-1,0)</f>
        <v>479.5</v>
      </c>
      <c r="H32" s="33">
        <f ca="1">607.4*OFFSET(H$112,MATCH($N$1,$C$112:$C$113,0)-1,0)</f>
        <v>607.4</v>
      </c>
      <c r="I32" s="33">
        <f ca="1">417.7*OFFSET(I$112,MATCH($N$1,$C$112:$C$113,0)-1,0)</f>
        <v>417.7</v>
      </c>
      <c r="J32" s="33">
        <f ca="1">466*OFFSET(J$112,MATCH($N$1,$C$112:$C$113,0)-1,0)</f>
        <v>466</v>
      </c>
      <c r="K32" s="33">
        <f ca="1">726.5*OFFSET(K$112,MATCH($N$1,$C$112:$C$113,0)-1,0)</f>
        <v>726.5</v>
      </c>
      <c r="L32" s="33">
        <f ca="1">403.7*OFFSET(L$112,MATCH($N$1,$C$112:$C$113,0)-1,0)</f>
        <v>403.7</v>
      </c>
      <c r="M32" s="33">
        <f ca="1">204*OFFSET(M$112,MATCH($N$1,$C$112:$C$113,0)-1,0)</f>
        <v>204</v>
      </c>
      <c r="N32" s="33">
        <v>135.69999999999999</v>
      </c>
      <c r="O32" s="29">
        <f t="shared" ca="1" si="0"/>
        <v>-0.77790507364975447</v>
      </c>
      <c r="P32" s="29">
        <f t="shared" ca="1" si="1"/>
        <v>-0.70879828326180261</v>
      </c>
    </row>
    <row r="33" spans="1:16" ht="18" customHeight="1" x14ac:dyDescent="0.2">
      <c r="A33" s="199"/>
      <c r="B33" s="37" t="s">
        <v>75</v>
      </c>
      <c r="C33" s="33"/>
      <c r="D33" s="33">
        <f ca="1">1767.6*OFFSET(D$112,MATCH($N$1,$C$112:$C$113,0)-1,0)</f>
        <v>1767.6</v>
      </c>
      <c r="E33" s="33">
        <f ca="1">1869.5*OFFSET(E$112,MATCH($N$1,$C$112:$C$113,0)-1,0)</f>
        <v>1869.5</v>
      </c>
      <c r="F33" s="33">
        <f ca="1">1667.8*OFFSET(F$112,MATCH($N$1,$C$112:$C$113,0)-1,0)</f>
        <v>1667.8</v>
      </c>
      <c r="G33" s="33">
        <f ca="1">1582.9*OFFSET(G$112,MATCH($N$1,$C$112:$C$113,0)-1,0)</f>
        <v>1582.9</v>
      </c>
      <c r="H33" s="33">
        <f ca="1">1669.7*OFFSET(H$112,MATCH($N$1,$C$112:$C$113,0)-1,0)</f>
        <v>1669.7</v>
      </c>
      <c r="I33" s="33">
        <f ca="1">1602.3*OFFSET(I$112,MATCH($N$1,$C$112:$C$113,0)-1,0)</f>
        <v>1602.3</v>
      </c>
      <c r="J33" s="33">
        <f ca="1">1332.3*OFFSET(J$112,MATCH($N$1,$C$112:$C$113,0)-1,0)</f>
        <v>1332.3</v>
      </c>
      <c r="K33" s="33">
        <f ca="1">1945.1*OFFSET(K$112,MATCH($N$1,$C$112:$C$113,0)-1,0)</f>
        <v>1945.1</v>
      </c>
      <c r="L33" s="33">
        <f ca="1">1338.7*OFFSET(L$112,MATCH($N$1,$C$112:$C$113,0)-1,0)</f>
        <v>1338.7</v>
      </c>
      <c r="M33" s="33">
        <f ca="1">941.5*OFFSET(M$112,MATCH($N$1,$C$112:$C$113,0)-1,0)</f>
        <v>941.5</v>
      </c>
      <c r="N33" s="33">
        <v>969</v>
      </c>
      <c r="O33" s="29">
        <f t="shared" ca="1" si="0"/>
        <v>-0.45179904955872369</v>
      </c>
      <c r="P33" s="29">
        <f t="shared" ca="1" si="1"/>
        <v>-0.27268633190722807</v>
      </c>
    </row>
    <row r="34" spans="1:16" ht="18" customHeight="1" x14ac:dyDescent="0.2">
      <c r="A34" s="199"/>
      <c r="B34" s="37" t="s">
        <v>76</v>
      </c>
      <c r="C34" s="33"/>
      <c r="D34" s="33">
        <f ca="1">318.6*OFFSET(D$112,MATCH($N$1,$C$112:$C$113,0)-1,0)</f>
        <v>318.60000000000002</v>
      </c>
      <c r="E34" s="33">
        <f ca="1">354.7*OFFSET(E$112,MATCH($N$1,$C$112:$C$113,0)-1,0)</f>
        <v>354.7</v>
      </c>
      <c r="F34" s="33">
        <f ca="1">296.3*OFFSET(F$112,MATCH($N$1,$C$112:$C$113,0)-1,0)</f>
        <v>296.3</v>
      </c>
      <c r="G34" s="33">
        <f ca="1">274*OFFSET(G$112,MATCH($N$1,$C$112:$C$113,0)-1,0)</f>
        <v>274</v>
      </c>
      <c r="H34" s="33">
        <f ca="1">359.8*OFFSET(H$112,MATCH($N$1,$C$112:$C$113,0)-1,0)</f>
        <v>359.8</v>
      </c>
      <c r="I34" s="33">
        <f ca="1">635.5*OFFSET(I$112,MATCH($N$1,$C$112:$C$113,0)-1,0)</f>
        <v>635.5</v>
      </c>
      <c r="J34" s="33">
        <f ca="1">276*OFFSET(J$112,MATCH($N$1,$C$112:$C$113,0)-1,0)</f>
        <v>276</v>
      </c>
      <c r="K34" s="33">
        <f ca="1">243.5*OFFSET(K$112,MATCH($N$1,$C$112:$C$113,0)-1,0)</f>
        <v>243.5</v>
      </c>
      <c r="L34" s="33">
        <f ca="1">239.1*OFFSET(L$112,MATCH($N$1,$C$112:$C$113,0)-1,0)</f>
        <v>239.1</v>
      </c>
      <c r="M34" s="33">
        <f ca="1">120.8*OFFSET(M$112,MATCH($N$1,$C$112:$C$113,0)-1,0)</f>
        <v>120.8</v>
      </c>
      <c r="N34" s="33">
        <v>135.1</v>
      </c>
      <c r="O34" s="29">
        <f t="shared" ca="1" si="0"/>
        <v>-0.57595731324544885</v>
      </c>
      <c r="P34" s="29">
        <f t="shared" ca="1" si="1"/>
        <v>-0.51050724637681166</v>
      </c>
    </row>
    <row r="35" spans="1:16" ht="18" customHeight="1" x14ac:dyDescent="0.2">
      <c r="A35" s="199"/>
      <c r="B35" s="37" t="s">
        <v>77</v>
      </c>
      <c r="C35" s="33"/>
      <c r="D35" s="33">
        <f ca="1">2086.2*OFFSET(D$112,MATCH($N$1,$C$112:$C$113,0)-1,0)</f>
        <v>2086.1999999999998</v>
      </c>
      <c r="E35" s="33">
        <f ca="1">2224.2*OFFSET(E$112,MATCH($N$1,$C$112:$C$113,0)-1,0)</f>
        <v>2224.1999999999998</v>
      </c>
      <c r="F35" s="33">
        <f ca="1">1964.1*OFFSET(F$112,MATCH($N$1,$C$112:$C$113,0)-1,0)</f>
        <v>1964.1</v>
      </c>
      <c r="G35" s="33">
        <f ca="1">1856.9*OFFSET(G$112,MATCH($N$1,$C$112:$C$113,0)-1,0)</f>
        <v>1856.9</v>
      </c>
      <c r="H35" s="33">
        <f ca="1">2029.5*OFFSET(H$112,MATCH($N$1,$C$112:$C$113,0)-1,0)</f>
        <v>2029.5</v>
      </c>
      <c r="I35" s="33">
        <f ca="1">2237.8*OFFSET(I$112,MATCH($N$1,$C$112:$C$113,0)-1,0)</f>
        <v>2237.8000000000002</v>
      </c>
      <c r="J35" s="33">
        <f ca="1">1608.4*OFFSET(J$112,MATCH($N$1,$C$112:$C$113,0)-1,0)</f>
        <v>1608.4</v>
      </c>
      <c r="K35" s="33">
        <f ca="1">2188.6*OFFSET(K$112,MATCH($N$1,$C$112:$C$113,0)-1,0)</f>
        <v>2188.6</v>
      </c>
      <c r="L35" s="33">
        <f ca="1">1577.8*OFFSET(L$112,MATCH($N$1,$C$112:$C$113,0)-1,0)</f>
        <v>1577.8</v>
      </c>
      <c r="M35" s="33">
        <f ca="1">1062.3*OFFSET(M$112,MATCH($N$1,$C$112:$C$113,0)-1,0)</f>
        <v>1062.3</v>
      </c>
      <c r="N35" s="33">
        <v>1104.1000000000001</v>
      </c>
      <c r="O35" s="29">
        <f t="shared" ca="1" si="0"/>
        <v>-0.47076023391812855</v>
      </c>
      <c r="P35" s="29">
        <f t="shared" ca="1" si="1"/>
        <v>-0.31354140761004723</v>
      </c>
    </row>
    <row r="36" spans="1:16" ht="18" customHeight="1" x14ac:dyDescent="0.2">
      <c r="A36" s="199"/>
      <c r="B36" s="42" t="s">
        <v>78</v>
      </c>
      <c r="C36" s="43"/>
      <c r="D36" s="43">
        <f ca="1">390*OFFSET(D$112,MATCH($N$1,$C$112:$C$113,0)-1,0)</f>
        <v>390</v>
      </c>
      <c r="E36" s="43">
        <f ca="1">245.7*OFFSET(E$112,MATCH($N$1,$C$112:$C$113,0)-1,0)</f>
        <v>245.7</v>
      </c>
      <c r="F36" s="43">
        <f ca="1">94.9*OFFSET(F$112,MATCH($N$1,$C$112:$C$113,0)-1,0)</f>
        <v>94.9</v>
      </c>
      <c r="G36" s="43">
        <f ca="1">227.4*OFFSET(G$112,MATCH($N$1,$C$112:$C$113,0)-1,0)</f>
        <v>227.4</v>
      </c>
      <c r="H36" s="43">
        <f ca="1">619*OFFSET(H$112,MATCH($N$1,$C$112:$C$113,0)-1,0)</f>
        <v>619</v>
      </c>
      <c r="I36" s="43">
        <f ca="1">903.6*OFFSET(I$112,MATCH($N$1,$C$112:$C$113,0)-1,0)</f>
        <v>903.6</v>
      </c>
      <c r="J36" s="43">
        <f ca="1">370.6*OFFSET(J$112,MATCH($N$1,$C$112:$C$113,0)-1,0)</f>
        <v>370.6</v>
      </c>
      <c r="K36" s="43">
        <f ca="1">315.3*OFFSET(K$112,MATCH($N$1,$C$112:$C$113,0)-1,0)</f>
        <v>315.3</v>
      </c>
      <c r="L36" s="43">
        <f ca="1">-53.1*OFFSET(L$112,MATCH($N$1,$C$112:$C$113,0)-1,0)</f>
        <v>-53.1</v>
      </c>
      <c r="M36" s="43">
        <f ca="1">-173*OFFSET(M$112,MATCH($N$1,$C$112:$C$113,0)-1,0)</f>
        <v>-173</v>
      </c>
      <c r="N36" s="43">
        <v>-512.30000000000007</v>
      </c>
      <c r="O36" s="29">
        <f t="shared" ca="1" si="0"/>
        <v>-2.3135897435897439</v>
      </c>
      <c r="P36" s="29">
        <f t="shared" ca="1" si="1"/>
        <v>-2.3823529411764706</v>
      </c>
    </row>
    <row r="37" spans="1:16" ht="18" customHeight="1" x14ac:dyDescent="0.2">
      <c r="A37" s="199"/>
      <c r="B37" s="42" t="s">
        <v>79</v>
      </c>
      <c r="C37" s="43"/>
      <c r="D37" s="43">
        <f ca="1">132.4*OFFSET(D$112,MATCH($N$1,$C$112:$C$113,0)-1,0)</f>
        <v>132.4</v>
      </c>
      <c r="E37" s="43">
        <f ca="1">4.2*OFFSET(E$112,MATCH($N$1,$C$112:$C$113,0)-1,0)</f>
        <v>4.2</v>
      </c>
      <c r="F37" s="43">
        <f ca="1">-101*OFFSET(F$112,MATCH($N$1,$C$112:$C$113,0)-1,0)</f>
        <v>-101</v>
      </c>
      <c r="G37" s="43">
        <f ca="1">-35.8*OFFSET(G$112,MATCH($N$1,$C$112:$C$113,0)-1,0)</f>
        <v>-35.799999999999997</v>
      </c>
      <c r="H37" s="43">
        <f ca="1">155.7*OFFSET(H$112,MATCH($N$1,$C$112:$C$113,0)-1,0)</f>
        <v>155.69999999999999</v>
      </c>
      <c r="I37" s="43">
        <f ca="1">319.6*OFFSET(I$112,MATCH($N$1,$C$112:$C$113,0)-1,0)</f>
        <v>319.60000000000002</v>
      </c>
      <c r="J37" s="43">
        <f ca="1">68*OFFSET(J$112,MATCH($N$1,$C$112:$C$113,0)-1,0)</f>
        <v>68</v>
      </c>
      <c r="K37" s="43">
        <f ca="1">-57.8*OFFSET(K$112,MATCH($N$1,$C$112:$C$113,0)-1,0)</f>
        <v>-57.8</v>
      </c>
      <c r="L37" s="43">
        <f ca="1">-125.6*OFFSET(L$112,MATCH($N$1,$C$112:$C$113,0)-1,0)</f>
        <v>-125.6</v>
      </c>
      <c r="M37" s="43">
        <f ca="1">-328.6*OFFSET(M$112,MATCH($N$1,$C$112:$C$113,0)-1,0)</f>
        <v>-328.6</v>
      </c>
      <c r="N37" s="43">
        <v>-615.80000000000007</v>
      </c>
      <c r="O37" s="29">
        <f t="shared" ca="1" si="0"/>
        <v>-5.6510574018126887</v>
      </c>
      <c r="P37" s="29">
        <f t="shared" ca="1" si="1"/>
        <v>-10.055882352941177</v>
      </c>
    </row>
    <row r="38" spans="1:16" ht="18" customHeight="1" x14ac:dyDescent="0.2">
      <c r="A38" s="199"/>
      <c r="B38" s="37" t="s">
        <v>80</v>
      </c>
      <c r="C38" s="33"/>
      <c r="D38" s="33">
        <f ca="1">128.3*OFFSET(D$112,MATCH($N$1,$C$112:$C$113,0)-1,0)</f>
        <v>128.30000000000001</v>
      </c>
      <c r="E38" s="33">
        <f ca="1">119.3*OFFSET(E$112,MATCH($N$1,$C$112:$C$113,0)-1,0)</f>
        <v>119.3</v>
      </c>
      <c r="F38" s="33">
        <f ca="1">107.8*OFFSET(F$112,MATCH($N$1,$C$112:$C$113,0)-1,0)</f>
        <v>107.8</v>
      </c>
      <c r="G38" s="33">
        <f ca="1">214.2*OFFSET(G$112,MATCH($N$1,$C$112:$C$113,0)-1,0)</f>
        <v>214.2</v>
      </c>
      <c r="H38" s="33">
        <f ca="1">161.9*OFFSET(H$112,MATCH($N$1,$C$112:$C$113,0)-1,0)</f>
        <v>161.9</v>
      </c>
      <c r="I38" s="33">
        <f ca="1">226.8*OFFSET(I$112,MATCH($N$1,$C$112:$C$113,0)-1,0)</f>
        <v>226.8</v>
      </c>
      <c r="J38" s="33"/>
      <c r="K38" s="33"/>
      <c r="L38" s="33"/>
      <c r="M38" s="33"/>
      <c r="N38" s="33"/>
      <c r="O38" s="29" t="str">
        <f t="shared" si="0"/>
        <v/>
      </c>
      <c r="P38" s="29" t="str">
        <f t="shared" si="1"/>
        <v/>
      </c>
    </row>
    <row r="39" spans="1:16" ht="18" customHeight="1" x14ac:dyDescent="0.2">
      <c r="A39" s="199"/>
      <c r="B39" s="37" t="s">
        <v>81</v>
      </c>
      <c r="C39" s="33"/>
      <c r="D39" s="33">
        <f ca="1">101.4*OFFSET(D$112,MATCH($N$1,$C$112:$C$113,0)-1,0)</f>
        <v>101.4</v>
      </c>
      <c r="E39" s="33">
        <f ca="1">91.3*OFFSET(E$112,MATCH($N$1,$C$112:$C$113,0)-1,0)</f>
        <v>91.3</v>
      </c>
      <c r="F39" s="33">
        <f ca="1">11.8*OFFSET(F$112,MATCH($N$1,$C$112:$C$113,0)-1,0)</f>
        <v>11.8</v>
      </c>
      <c r="G39" s="33">
        <f ca="1">4.6*OFFSET(G$112,MATCH($N$1,$C$112:$C$113,0)-1,0)</f>
        <v>4.5999999999999996</v>
      </c>
      <c r="H39" s="33">
        <f ca="1">57.9*OFFSET(H$112,MATCH($N$1,$C$112:$C$113,0)-1,0)</f>
        <v>57.9</v>
      </c>
      <c r="I39" s="33">
        <f ca="1">72.9*OFFSET(I$112,MATCH($N$1,$C$112:$C$113,0)-1,0)</f>
        <v>72.900000000000006</v>
      </c>
      <c r="J39" s="33"/>
      <c r="K39" s="33">
        <f ca="1">413.8*OFFSET(K$112,MATCH($N$1,$C$112:$C$113,0)-1,0)</f>
        <v>413.8</v>
      </c>
      <c r="L39" s="33"/>
      <c r="M39" s="33"/>
      <c r="N39" s="33"/>
      <c r="O39" s="29" t="str">
        <f t="shared" si="0"/>
        <v/>
      </c>
      <c r="P39" s="29" t="str">
        <f t="shared" si="1"/>
        <v/>
      </c>
    </row>
    <row r="40" spans="1:16" ht="18" customHeight="1" x14ac:dyDescent="0.2">
      <c r="A40" s="199"/>
      <c r="B40" s="37" t="s">
        <v>82</v>
      </c>
      <c r="C40" s="33"/>
      <c r="D40" s="33"/>
      <c r="E40" s="33"/>
      <c r="F40" s="33">
        <f ca="1">11.8*OFFSET(F$112,MATCH($N$1,$C$112:$C$113,0)-1,0)</f>
        <v>11.8</v>
      </c>
      <c r="G40" s="33">
        <f ca="1">4.6*OFFSET(G$112,MATCH($N$1,$C$112:$C$113,0)-1,0)</f>
        <v>4.5999999999999996</v>
      </c>
      <c r="H40" s="33">
        <f ca="1">69.5*OFFSET(H$112,MATCH($N$1,$C$112:$C$113,0)-1,0)</f>
        <v>69.5</v>
      </c>
      <c r="I40" s="33">
        <f ca="1">29.4*OFFSET(I$112,MATCH($N$1,$C$112:$C$113,0)-1,0)</f>
        <v>29.4</v>
      </c>
      <c r="J40" s="33"/>
      <c r="K40" s="33"/>
      <c r="L40" s="33"/>
      <c r="M40" s="33"/>
      <c r="N40" s="33"/>
      <c r="O40" s="29" t="str">
        <f t="shared" si="0"/>
        <v/>
      </c>
      <c r="P40" s="29" t="str">
        <f t="shared" si="1"/>
        <v/>
      </c>
    </row>
    <row r="41" spans="1:16" ht="18" customHeight="1" thickBot="1" x14ac:dyDescent="0.25">
      <c r="A41" s="200"/>
      <c r="B41" s="44" t="s">
        <v>83</v>
      </c>
      <c r="C41" s="45"/>
      <c r="D41" s="45">
        <f ca="1">-97.3*OFFSET(D$112,MATCH($N$1,$C$112:$C$113,0)-1,0)</f>
        <v>-97.3</v>
      </c>
      <c r="E41" s="45">
        <f ca="1">-206.3*OFFSET(E$112,MATCH($N$1,$C$112:$C$113,0)-1,0)</f>
        <v>-206.3</v>
      </c>
      <c r="F41" s="45">
        <f ca="1">-232.5*OFFSET(F$112,MATCH($N$1,$C$112:$C$113,0)-1,0)</f>
        <v>-232.5</v>
      </c>
      <c r="G41" s="45">
        <f ca="1">-259.2*OFFSET(G$112,MATCH($N$1,$C$112:$C$113,0)-1,0)</f>
        <v>-259.2</v>
      </c>
      <c r="H41" s="45">
        <f ca="1">-133.5*OFFSET(H$112,MATCH($N$1,$C$112:$C$113,0)-1,0)</f>
        <v>-133.5</v>
      </c>
      <c r="I41" s="45">
        <f ca="1">-9.5*OFFSET(I$112,MATCH($N$1,$C$112:$C$113,0)-1,0)</f>
        <v>-9.5</v>
      </c>
      <c r="J41" s="45"/>
      <c r="K41" s="45">
        <f ca="1">-471.6*OFFSET(K$112,MATCH($N$1,$C$112:$C$113,0)-1,0)</f>
        <v>-471.6</v>
      </c>
      <c r="L41" s="45"/>
      <c r="M41" s="45"/>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22</v>
      </c>
      <c r="F46" s="94" t="s">
        <v>21</v>
      </c>
      <c r="G46" s="94" t="s">
        <v>22</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North Sea beam trawl over 300kW</v>
      </c>
      <c r="C48" s="96"/>
      <c r="D48" s="96"/>
      <c r="E48" s="96"/>
      <c r="F48" s="96"/>
      <c r="G48" s="96"/>
      <c r="K48" s="96" t="str">
        <f>$B24&amp;CHAR(10)&amp;$A$1</f>
        <v>Operating profit per kW day at sea (£)
North Sea beam trawl over 300kW</v>
      </c>
    </row>
    <row r="49" spans="1:11" s="82" customFormat="1" x14ac:dyDescent="0.2">
      <c r="A49" s="96" t="str">
        <f>$B22&amp;CHAR(10)&amp;$A$1</f>
        <v>Fishing income per kW day at sea (£)
North Sea beam trawl over 300kW</v>
      </c>
    </row>
    <row r="50" spans="1:11" s="82" customFormat="1" x14ac:dyDescent="0.2">
      <c r="A50" s="96" t="str">
        <f>$B20&amp;CHAR(10)&amp;$A$1</f>
        <v>Average price per tonne landed (£)
North Sea beam trawl over 300kW</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North Sea beam trawl over 300kW</v>
      </c>
      <c r="F62" s="96" t="str">
        <f>$B20&amp;CHAR(10)&amp;$A$1</f>
        <v>Average price per tonne landed (£)
North Sea beam trawl over 300kW</v>
      </c>
      <c r="K62" s="96" t="str">
        <f>"Average annual operating profit per vessel (£'000)"&amp;CHAR(10)&amp;$A$1</f>
        <v>Average annual operating profit per vessel (£'000)
North Sea beam trawl over 300kW</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North Sea beam trawl over 300kW</v>
      </c>
      <c r="F76" s="96" t="str">
        <f>"Top 5 landed species by value in "&amp;A77&amp;CHAR(10)&amp;A1</f>
        <v>Top 5 landed species by value in 2020
North Sea beam trawl over 300kW</v>
      </c>
    </row>
    <row r="77" spans="1:11" s="96" customFormat="1" x14ac:dyDescent="0.2">
      <c r="A77" s="96">
        <v>2020</v>
      </c>
      <c r="B77" s="96" t="s">
        <v>267</v>
      </c>
      <c r="C77" s="97">
        <v>0.62437565942464368</v>
      </c>
      <c r="D77" s="98">
        <v>12153634</v>
      </c>
      <c r="G77" s="96" t="s">
        <v>268</v>
      </c>
      <c r="H77" s="97">
        <v>0.43639593070815041</v>
      </c>
      <c r="I77" s="98">
        <v>12153634</v>
      </c>
      <c r="K77" s="96" t="s">
        <v>87</v>
      </c>
    </row>
    <row r="78" spans="1:11" s="96" customFormat="1" x14ac:dyDescent="0.2">
      <c r="B78" s="96" t="s">
        <v>269</v>
      </c>
      <c r="C78" s="97">
        <v>0.14606368741389819</v>
      </c>
      <c r="D78" s="98">
        <v>553960</v>
      </c>
      <c r="G78" s="96" t="s">
        <v>270</v>
      </c>
      <c r="H78" s="97">
        <v>0.36119309760043822</v>
      </c>
      <c r="I78" s="98">
        <v>553960</v>
      </c>
    </row>
    <row r="79" spans="1:11" s="96" customFormat="1" x14ac:dyDescent="0.2">
      <c r="B79" s="96" t="s">
        <v>271</v>
      </c>
      <c r="C79" s="97">
        <v>6.9016645911922844E-2</v>
      </c>
      <c r="D79" s="98">
        <v>3050596</v>
      </c>
      <c r="G79" s="96" t="s">
        <v>272</v>
      </c>
      <c r="H79" s="97">
        <v>0.10471604921043322</v>
      </c>
      <c r="I79" s="98">
        <v>3050596</v>
      </c>
    </row>
    <row r="80" spans="1:11" s="96" customFormat="1" x14ac:dyDescent="0.2">
      <c r="B80" s="96" t="s">
        <v>273</v>
      </c>
      <c r="C80" s="97">
        <v>3.7678198995716547E-2</v>
      </c>
      <c r="D80" s="98">
        <v>3689192</v>
      </c>
      <c r="G80" s="96" t="s">
        <v>274</v>
      </c>
      <c r="H80" s="97">
        <v>2.9914002492005543E-2</v>
      </c>
      <c r="I80" s="98">
        <v>1692097</v>
      </c>
    </row>
    <row r="81" spans="1:19" s="96" customFormat="1" x14ac:dyDescent="0.2">
      <c r="B81" s="96" t="s">
        <v>275</v>
      </c>
      <c r="C81" s="97">
        <v>2.1862896396027044E-2</v>
      </c>
      <c r="D81" s="98">
        <v>1692097</v>
      </c>
      <c r="G81" s="96" t="s">
        <v>276</v>
      </c>
      <c r="H81" s="97">
        <v>1.4118825065367206E-2</v>
      </c>
      <c r="I81" s="98">
        <v>3689192</v>
      </c>
    </row>
    <row r="82" spans="1:19" s="96" customFormat="1" x14ac:dyDescent="0.2">
      <c r="B82" s="96" t="s">
        <v>97</v>
      </c>
      <c r="C82" s="97">
        <v>0.10100291185779176</v>
      </c>
      <c r="D82" s="98">
        <v>5920853</v>
      </c>
      <c r="G82" s="96" t="s">
        <v>277</v>
      </c>
      <c r="H82" s="97">
        <v>5.3662094923605297E-2</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128</v>
      </c>
      <c r="D92" s="102">
        <v>0.76045664686255809</v>
      </c>
      <c r="E92" s="102">
        <v>0.60728518412264054</v>
      </c>
      <c r="F92" s="102">
        <v>0.56732239820548225</v>
      </c>
      <c r="G92" s="102">
        <v>0.61144307623912608</v>
      </c>
      <c r="H92" s="102">
        <v>0.63308344299469987</v>
      </c>
      <c r="I92" s="102">
        <v>0.6324403583566548</v>
      </c>
      <c r="J92" s="102">
        <v>0.58373818731099447</v>
      </c>
      <c r="K92" s="102">
        <v>0.6141269076027156</v>
      </c>
      <c r="L92" s="102">
        <v>0.43639593070815041</v>
      </c>
      <c r="M92" s="102">
        <v>0.44581291898904657</v>
      </c>
      <c r="O92" s="96">
        <v>12153634</v>
      </c>
    </row>
    <row r="93" spans="1:19" s="96" customFormat="1" hidden="1" x14ac:dyDescent="0.2">
      <c r="B93" s="96">
        <v>2</v>
      </c>
      <c r="C93" s="96" t="s">
        <v>144</v>
      </c>
      <c r="D93" s="102">
        <v>0.10865999785301753</v>
      </c>
      <c r="E93" s="102">
        <v>0.21436602156158507</v>
      </c>
      <c r="F93" s="102">
        <v>0.24871472857069629</v>
      </c>
      <c r="G93" s="102">
        <v>0.24349591157324815</v>
      </c>
      <c r="H93" s="102">
        <v>0.21811155627052076</v>
      </c>
      <c r="I93" s="102">
        <v>0.18940823836145826</v>
      </c>
      <c r="J93" s="102">
        <v>0.21201163599933345</v>
      </c>
      <c r="K93" s="102">
        <v>0.1870710277959243</v>
      </c>
      <c r="L93" s="102">
        <v>0.36119309760043822</v>
      </c>
      <c r="M93" s="102">
        <v>0.21594582685634603</v>
      </c>
      <c r="O93" s="96">
        <v>553960</v>
      </c>
    </row>
    <row r="94" spans="1:19" s="96" customFormat="1" hidden="1" x14ac:dyDescent="0.2">
      <c r="B94" s="96">
        <v>3</v>
      </c>
      <c r="C94" s="96" t="s">
        <v>147</v>
      </c>
      <c r="D94" s="102">
        <v>6.389568900357287E-2</v>
      </c>
      <c r="E94" s="102">
        <v>9.1265225932750729E-2</v>
      </c>
      <c r="F94" s="102">
        <v>9.8087758821706089E-2</v>
      </c>
      <c r="G94" s="102">
        <v>6.7248349211095654E-2</v>
      </c>
      <c r="H94" s="102">
        <v>6.9567226968196449E-2</v>
      </c>
      <c r="I94" s="102">
        <v>8.7140264736357012E-2</v>
      </c>
      <c r="J94" s="102">
        <v>0.1053274513389376</v>
      </c>
      <c r="K94" s="102">
        <v>0.10769860192298364</v>
      </c>
      <c r="L94" s="102">
        <v>0.10471604921043322</v>
      </c>
      <c r="M94" s="102">
        <v>0.1738927649201385</v>
      </c>
      <c r="O94" s="96">
        <v>3050596</v>
      </c>
    </row>
    <row r="95" spans="1:19" s="96" customFormat="1" hidden="1" x14ac:dyDescent="0.2">
      <c r="B95" s="96">
        <v>4</v>
      </c>
      <c r="C95" s="96" t="s">
        <v>146</v>
      </c>
      <c r="D95" s="102">
        <v>1.6398361953304869E-2</v>
      </c>
      <c r="E95" s="102">
        <v>2.68597304623709E-2</v>
      </c>
      <c r="F95" s="102">
        <v>2.9303678645102822E-2</v>
      </c>
      <c r="G95" s="102">
        <v>2.2720030122114532E-2</v>
      </c>
      <c r="H95" s="102">
        <v>2.5137627751856531E-2</v>
      </c>
      <c r="I95" s="102">
        <v>2.8458328704258972E-2</v>
      </c>
      <c r="J95" s="102">
        <v>3.0585245774404385E-2</v>
      </c>
      <c r="K95" s="102">
        <v>2.4169951874121569E-2</v>
      </c>
      <c r="L95" s="102">
        <v>2.9914002492005543E-2</v>
      </c>
      <c r="M95" s="102">
        <v>3.249905593092136E-2</v>
      </c>
      <c r="O95" s="96">
        <v>1692097</v>
      </c>
    </row>
    <row r="96" spans="1:19" s="96" customFormat="1" hidden="1" x14ac:dyDescent="0.2">
      <c r="B96" s="96">
        <v>5</v>
      </c>
      <c r="C96" s="96" t="s">
        <v>278</v>
      </c>
      <c r="D96" s="102"/>
      <c r="E96" s="102"/>
      <c r="F96" s="102"/>
      <c r="G96" s="102"/>
      <c r="H96" s="102"/>
      <c r="I96" s="102"/>
      <c r="J96" s="102"/>
      <c r="K96" s="102"/>
      <c r="L96" s="102">
        <v>1.4118825065367206E-2</v>
      </c>
      <c r="M96" s="102"/>
      <c r="O96" s="96">
        <v>3689192</v>
      </c>
    </row>
    <row r="97" spans="1:15" s="96" customFormat="1" hidden="1" x14ac:dyDescent="0.2">
      <c r="B97" s="96">
        <v>6</v>
      </c>
      <c r="C97" s="96" t="s">
        <v>104</v>
      </c>
      <c r="D97" s="102"/>
      <c r="E97" s="102"/>
      <c r="F97" s="102"/>
      <c r="G97" s="102"/>
      <c r="H97" s="102"/>
      <c r="I97" s="102"/>
      <c r="J97" s="102"/>
      <c r="K97" s="102"/>
      <c r="L97" s="102"/>
      <c r="M97" s="102">
        <v>4.0302236422596137E-2</v>
      </c>
      <c r="O97" s="96">
        <v>11115023</v>
      </c>
    </row>
    <row r="98" spans="1:15" s="96" customFormat="1" hidden="1" x14ac:dyDescent="0.2">
      <c r="B98" s="96">
        <v>7</v>
      </c>
      <c r="C98" s="96" t="s">
        <v>193</v>
      </c>
      <c r="D98" s="102">
        <v>1.7083189914302514E-2</v>
      </c>
      <c r="E98" s="102">
        <v>2.263898476694105E-2</v>
      </c>
      <c r="F98" s="102">
        <v>2.5202441287532809E-2</v>
      </c>
      <c r="G98" s="102">
        <v>2.7082498270080774E-2</v>
      </c>
      <c r="H98" s="102">
        <v>2.3046375667735031E-2</v>
      </c>
      <c r="I98" s="102">
        <v>2.8785507185359726E-2</v>
      </c>
      <c r="J98" s="102">
        <v>2.1025521728858163E-2</v>
      </c>
      <c r="K98" s="102">
        <v>1.9426674001319373E-2</v>
      </c>
      <c r="L98" s="102"/>
      <c r="M98" s="102"/>
      <c r="O98" s="96">
        <v>2480382</v>
      </c>
    </row>
    <row r="99" spans="1:15" s="96" customFormat="1" hidden="1" x14ac:dyDescent="0.2">
      <c r="B99" s="96">
        <v>8</v>
      </c>
      <c r="C99" s="96" t="s">
        <v>107</v>
      </c>
      <c r="D99" s="102">
        <v>3.350611441324413E-2</v>
      </c>
      <c r="E99" s="102">
        <v>3.7584853153711691E-2</v>
      </c>
      <c r="F99" s="102">
        <v>3.1368994469479793E-2</v>
      </c>
      <c r="G99" s="102">
        <v>2.8010134584334784E-2</v>
      </c>
      <c r="H99" s="102">
        <v>3.105377034699134E-2</v>
      </c>
      <c r="I99" s="102">
        <v>3.3767302655911283E-2</v>
      </c>
      <c r="J99" s="102">
        <v>4.7311957847471942E-2</v>
      </c>
      <c r="K99" s="102">
        <v>4.7506836802935527E-2</v>
      </c>
      <c r="L99" s="102">
        <v>5.3662094923605401E-2</v>
      </c>
      <c r="M99" s="102">
        <v>9.1547196880951406E-2</v>
      </c>
      <c r="O99" s="96">
        <v>5920853</v>
      </c>
    </row>
    <row r="100" spans="1:15" s="96" customFormat="1" hidden="1" x14ac:dyDescent="0.2">
      <c r="B100" s="96">
        <v>9</v>
      </c>
      <c r="D100" s="102"/>
      <c r="E100" s="102"/>
      <c r="F100" s="102"/>
      <c r="G100" s="102"/>
      <c r="H100" s="102"/>
      <c r="I100" s="102"/>
      <c r="J100" s="102"/>
      <c r="K100" s="102"/>
      <c r="L100" s="102"/>
      <c r="M100" s="102"/>
      <c r="O100" s="96">
        <v>8497745</v>
      </c>
    </row>
    <row r="101" spans="1:15" s="96" customFormat="1" hidden="1" x14ac:dyDescent="0.2">
      <c r="B101" s="96">
        <v>10</v>
      </c>
      <c r="D101" s="102"/>
      <c r="E101" s="102"/>
      <c r="F101" s="102"/>
      <c r="G101" s="102"/>
      <c r="H101" s="102"/>
      <c r="I101" s="102"/>
      <c r="J101" s="102"/>
      <c r="K101" s="102"/>
      <c r="L101" s="102"/>
      <c r="M101" s="102"/>
      <c r="O101" s="96">
        <v>14393110</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9</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t="s">
        <v>108</v>
      </c>
      <c r="D120" s="56" t="s">
        <v>108</v>
      </c>
      <c r="E120" s="56" t="s">
        <v>108</v>
      </c>
      <c r="F120" s="57">
        <v>7</v>
      </c>
    </row>
    <row r="121" spans="1:15" ht="18" customHeight="1" x14ac:dyDescent="0.2">
      <c r="A121" s="194" t="s">
        <v>27</v>
      </c>
      <c r="B121" s="35" t="s">
        <v>62</v>
      </c>
      <c r="C121" s="58"/>
      <c r="D121" s="58"/>
      <c r="E121" s="58"/>
      <c r="F121" s="59">
        <v>41.950000762939453</v>
      </c>
    </row>
    <row r="122" spans="1:15" ht="18" customHeight="1" x14ac:dyDescent="0.2">
      <c r="A122" s="195"/>
      <c r="B122" s="37" t="s">
        <v>55</v>
      </c>
      <c r="C122" s="60"/>
      <c r="D122" s="60"/>
      <c r="E122" s="60"/>
      <c r="F122" s="61">
        <v>1482.142822265625</v>
      </c>
    </row>
    <row r="123" spans="1:15" ht="18" customHeight="1" x14ac:dyDescent="0.2">
      <c r="A123" s="195"/>
      <c r="B123" s="37" t="s">
        <v>56</v>
      </c>
      <c r="C123" s="60"/>
      <c r="D123" s="60"/>
      <c r="E123" s="60"/>
      <c r="F123" s="61">
        <v>491.42855834960938</v>
      </c>
    </row>
    <row r="124" spans="1:15" ht="18" customHeight="1" x14ac:dyDescent="0.2">
      <c r="A124" s="195"/>
      <c r="B124" s="37" t="s">
        <v>57</v>
      </c>
      <c r="C124" s="60"/>
      <c r="D124" s="60"/>
      <c r="E124" s="60"/>
      <c r="F124" s="61">
        <v>1038.7921142578125</v>
      </c>
    </row>
    <row r="125" spans="1:15" ht="18" customHeight="1" x14ac:dyDescent="0.2">
      <c r="A125" s="195"/>
      <c r="B125" s="37" t="s">
        <v>58</v>
      </c>
      <c r="C125" s="33"/>
      <c r="D125" s="33"/>
      <c r="E125" s="33"/>
      <c r="F125" s="62">
        <v>436.41192626953125</v>
      </c>
    </row>
    <row r="126" spans="1:15" ht="18" customHeight="1" x14ac:dyDescent="0.2">
      <c r="A126" s="195"/>
      <c r="B126" s="37" t="s">
        <v>63</v>
      </c>
      <c r="C126" s="33"/>
      <c r="D126" s="33"/>
      <c r="E126" s="33"/>
      <c r="F126" s="62">
        <f ca="1">712.0443125*OFFSET($L$112,MATCH($N$1,$C$112:$C$113,0)-1,0)</f>
        <v>712.04431250000005</v>
      </c>
    </row>
    <row r="127" spans="1:15" ht="18" customHeight="1" x14ac:dyDescent="0.2">
      <c r="A127" s="195"/>
      <c r="B127" s="37" t="s">
        <v>60</v>
      </c>
      <c r="C127" s="60"/>
      <c r="D127" s="60"/>
      <c r="E127" s="60"/>
      <c r="F127" s="61">
        <v>242.85714721679688</v>
      </c>
    </row>
    <row r="128" spans="1:15" ht="18" customHeight="1" x14ac:dyDescent="0.2">
      <c r="A128" s="195"/>
      <c r="B128" s="37" t="s">
        <v>64</v>
      </c>
      <c r="C128" s="60"/>
      <c r="D128" s="60"/>
      <c r="E128" s="60"/>
      <c r="F128" s="61">
        <v>29.571428298950195</v>
      </c>
    </row>
    <row r="129" spans="1:15" ht="18" customHeight="1" x14ac:dyDescent="0.2">
      <c r="A129" s="195"/>
      <c r="B129" s="37" t="s">
        <v>65</v>
      </c>
      <c r="C129" s="63"/>
      <c r="D129" s="63"/>
      <c r="E129" s="63"/>
      <c r="F129" s="64">
        <v>1.7969902753829956</v>
      </c>
    </row>
    <row r="130" spans="1:15" ht="18" customHeight="1" x14ac:dyDescent="0.2">
      <c r="A130" s="196"/>
      <c r="B130" s="39" t="s">
        <v>28</v>
      </c>
      <c r="C130" s="40"/>
      <c r="D130" s="40"/>
      <c r="E130" s="40"/>
      <c r="F130" s="65">
        <f ca="1">1632*OFFSET($L$112,MATCH($N$1,$C$112:$C$113,0)-1,0)</f>
        <v>1632</v>
      </c>
    </row>
    <row r="131" spans="1:15" ht="18" customHeight="1" x14ac:dyDescent="0.2">
      <c r="A131" s="205" t="s">
        <v>29</v>
      </c>
      <c r="B131" s="35" t="s">
        <v>66</v>
      </c>
      <c r="C131" s="66"/>
      <c r="D131" s="66"/>
      <c r="E131" s="66"/>
      <c r="F131" s="67">
        <v>1.2132909662062246</v>
      </c>
    </row>
    <row r="132" spans="1:15" ht="18" customHeight="1" x14ac:dyDescent="0.2">
      <c r="A132" s="206"/>
      <c r="B132" s="37" t="s">
        <v>67</v>
      </c>
      <c r="C132" s="63"/>
      <c r="D132" s="63"/>
      <c r="E132" s="63"/>
      <c r="F132" s="64">
        <f ca="1">1.979590565454*OFFSET($L$112,MATCH($N$1,$C$112:$C$113,0)-1,0)</f>
        <v>1.979590565454</v>
      </c>
    </row>
    <row r="133" spans="1:15" ht="18" customHeight="1" x14ac:dyDescent="0.2">
      <c r="A133" s="206"/>
      <c r="B133" s="37" t="s">
        <v>11</v>
      </c>
      <c r="C133" s="63"/>
      <c r="D133" s="63"/>
      <c r="E133" s="63"/>
      <c r="F133" s="64">
        <f ca="1">2.89302370678028*OFFSET($L$112,MATCH($N$1,$C$112:$C$113,0)-1,0)</f>
        <v>2.89302370678028</v>
      </c>
    </row>
    <row r="134" spans="1:15" ht="18" customHeight="1" x14ac:dyDescent="0.2">
      <c r="A134" s="207"/>
      <c r="B134" s="39" t="s">
        <v>12</v>
      </c>
      <c r="C134" s="68"/>
      <c r="D134" s="68"/>
      <c r="E134" s="68"/>
      <c r="F134" s="69">
        <f ca="1">-0.913433141326273*OFFSET($L$112,MATCH($N$1,$C$112:$C$113,0)-1,0)</f>
        <v>-0.91343314132627296</v>
      </c>
    </row>
    <row r="135" spans="1:15" ht="18" customHeight="1" x14ac:dyDescent="0.2">
      <c r="A135" s="208" t="s">
        <v>49</v>
      </c>
      <c r="B135" s="37" t="s">
        <v>109</v>
      </c>
      <c r="C135" s="70"/>
      <c r="D135" s="70"/>
      <c r="E135" s="70"/>
      <c r="F135" s="71">
        <f ca="1">581.9498125*OFFSET($L$112,MATCH($N$1,$C$112:$C$113,0)-1,0)</f>
        <v>581.94981250000001</v>
      </c>
    </row>
    <row r="136" spans="1:15" ht="18" customHeight="1" x14ac:dyDescent="0.2">
      <c r="A136" s="209"/>
      <c r="B136" s="37" t="s">
        <v>110</v>
      </c>
      <c r="C136" s="31"/>
      <c r="D136" s="31"/>
      <c r="E136" s="31"/>
      <c r="F136" s="72">
        <v>1578571.4285714286</v>
      </c>
    </row>
    <row r="137" spans="1:15" ht="18" customHeight="1" x14ac:dyDescent="0.2">
      <c r="A137" s="209"/>
      <c r="B137" s="37" t="s">
        <v>111</v>
      </c>
      <c r="C137" s="31"/>
      <c r="D137" s="31"/>
      <c r="E137" s="31"/>
      <c r="F137" s="72">
        <v>6500</v>
      </c>
    </row>
    <row r="138" spans="1:15" ht="18" customHeight="1" x14ac:dyDescent="0.2">
      <c r="A138" s="209"/>
      <c r="B138" s="37" t="s">
        <v>112</v>
      </c>
      <c r="C138" s="31"/>
      <c r="D138" s="31"/>
      <c r="E138" s="31"/>
      <c r="F138" s="72">
        <f ca="1">2396.26389080696*OFFSET($L$112,MATCH($N$1,$C$112:$C$113,0)-1,0)</f>
        <v>2396.2638908069598</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c r="D139" s="31"/>
      <c r="E139" s="31"/>
      <c r="F139" s="72">
        <f ca="1">1333.48741743731*OFFSET($L$112,MATCH($N$1,$C$112:$C$113,0)-1,0)</f>
        <v>1333.4874174373099</v>
      </c>
      <c r="I139" s="48"/>
      <c r="K139" s="73" t="s">
        <v>114</v>
      </c>
      <c r="L139" s="74">
        <f t="shared" ref="L139:M141" si="2">C140</f>
        <v>0</v>
      </c>
      <c r="M139" s="74">
        <f t="shared" si="2"/>
        <v>0</v>
      </c>
      <c r="N139" s="74">
        <f>E140</f>
        <v>0</v>
      </c>
      <c r="O139" s="74"/>
    </row>
    <row r="140" spans="1:15" ht="18" customHeight="1" x14ac:dyDescent="0.2">
      <c r="A140" s="187" t="s">
        <v>50</v>
      </c>
      <c r="B140" s="35" t="s">
        <v>115</v>
      </c>
      <c r="C140" s="75"/>
      <c r="D140" s="75"/>
      <c r="E140" s="75"/>
      <c r="F140" s="76">
        <f ca="1">733.758125*OFFSET($L$112,MATCH($N$1,$C$112:$C$113,0)-1,0)</f>
        <v>733.75812499999995</v>
      </c>
      <c r="I140" s="48"/>
      <c r="K140" s="73" t="s">
        <v>116</v>
      </c>
      <c r="L140" s="74">
        <f t="shared" si="2"/>
        <v>0</v>
      </c>
      <c r="M140" s="74">
        <f t="shared" si="2"/>
        <v>0</v>
      </c>
      <c r="N140" s="74">
        <f>E141</f>
        <v>0</v>
      </c>
      <c r="O140" s="74"/>
    </row>
    <row r="141" spans="1:15" ht="18" customHeight="1" x14ac:dyDescent="0.2">
      <c r="A141" s="188"/>
      <c r="B141" s="37" t="s">
        <v>117</v>
      </c>
      <c r="C141" s="31"/>
      <c r="D141" s="31"/>
      <c r="E141" s="31"/>
      <c r="F141" s="72">
        <f ca="1">1062.313375*OFFSET($L$112,MATCH($N$1,$C$112:$C$113,0)-1,0)</f>
        <v>1062.313375</v>
      </c>
      <c r="I141" s="48"/>
      <c r="K141" s="73" t="s">
        <v>118</v>
      </c>
      <c r="L141" s="74">
        <f t="shared" si="2"/>
        <v>0</v>
      </c>
      <c r="M141" s="74">
        <f t="shared" si="2"/>
        <v>0</v>
      </c>
      <c r="N141" s="74">
        <f>E142</f>
        <v>0</v>
      </c>
      <c r="O141" s="74"/>
    </row>
    <row r="142" spans="1:15" ht="18" customHeight="1" x14ac:dyDescent="0.2">
      <c r="A142" s="189"/>
      <c r="B142" s="39" t="s">
        <v>119</v>
      </c>
      <c r="C142" s="40"/>
      <c r="D142" s="40"/>
      <c r="E142" s="40"/>
      <c r="F142" s="65">
        <f ca="1">-328.55525*OFFSET($L$112,MATCH($N$1,$C$112:$C$113,0)-1,0)</f>
        <v>-328.55525</v>
      </c>
      <c r="I142" s="48"/>
      <c r="K142" s="73" t="s">
        <v>120</v>
      </c>
      <c r="L142" s="77" t="str">
        <f>IFERROR(L140/L$139,"")</f>
        <v/>
      </c>
      <c r="M142" s="77" t="str">
        <f t="shared" ref="M142:N143" si="3">IFERROR(M140/M$139,"")</f>
        <v/>
      </c>
      <c r="N142" s="77" t="str">
        <f t="shared" si="3"/>
        <v/>
      </c>
      <c r="O142" s="77"/>
    </row>
    <row r="143" spans="1:15" ht="18" customHeight="1" x14ac:dyDescent="0.2">
      <c r="I143" s="48"/>
      <c r="K143" s="73" t="s">
        <v>121</v>
      </c>
      <c r="L143" s="77" t="str">
        <f>IFERROR(L141/L$139,"")</f>
        <v/>
      </c>
      <c r="M143" s="77" t="str">
        <f t="shared" si="3"/>
        <v/>
      </c>
      <c r="N143" s="77" t="str">
        <f t="shared" si="3"/>
        <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8</v>
      </c>
      <c r="B161" s="53"/>
      <c r="C161" s="78" t="s">
        <v>45</v>
      </c>
      <c r="D161" s="78" t="s">
        <v>122</v>
      </c>
      <c r="E161" s="78" t="s">
        <v>47</v>
      </c>
      <c r="F161" s="78" t="s">
        <v>123</v>
      </c>
      <c r="G161" s="79">
        <v>8</v>
      </c>
      <c r="H161" s="78"/>
      <c r="I161" s="78" t="s">
        <v>45</v>
      </c>
      <c r="J161" s="78" t="s">
        <v>122</v>
      </c>
      <c r="K161" s="78" t="s">
        <v>47</v>
      </c>
      <c r="L161" s="53" t="s">
        <v>123</v>
      </c>
      <c r="R161" s="21"/>
      <c r="S161" s="21"/>
    </row>
    <row r="162" spans="1:19" s="48" customFormat="1" x14ac:dyDescent="0.2">
      <c r="A162" s="49">
        <v>1</v>
      </c>
      <c r="B162" s="53" t="s">
        <v>128</v>
      </c>
      <c r="C162" s="53">
        <v>0</v>
      </c>
      <c r="D162" s="53">
        <v>0</v>
      </c>
      <c r="E162" s="53">
        <v>0</v>
      </c>
      <c r="F162" s="49">
        <v>12153634</v>
      </c>
      <c r="G162" s="49">
        <v>1</v>
      </c>
      <c r="H162" s="53" t="s">
        <v>128</v>
      </c>
      <c r="I162" s="53">
        <v>0</v>
      </c>
      <c r="J162" s="53">
        <v>0</v>
      </c>
      <c r="K162" s="53">
        <v>0</v>
      </c>
      <c r="L162" s="49">
        <v>12153634</v>
      </c>
      <c r="R162" s="21"/>
      <c r="S162" s="21"/>
    </row>
    <row r="163" spans="1:19" s="48" customFormat="1" x14ac:dyDescent="0.2">
      <c r="A163" s="49">
        <v>2</v>
      </c>
      <c r="B163" s="53" t="s">
        <v>144</v>
      </c>
      <c r="C163" s="53">
        <v>0</v>
      </c>
      <c r="D163" s="53">
        <v>0</v>
      </c>
      <c r="E163" s="53">
        <v>0</v>
      </c>
      <c r="F163" s="49">
        <v>553960</v>
      </c>
      <c r="G163" s="49">
        <v>2</v>
      </c>
      <c r="H163" s="53" t="s">
        <v>144</v>
      </c>
      <c r="I163" s="53">
        <v>0</v>
      </c>
      <c r="J163" s="53">
        <v>0</v>
      </c>
      <c r="K163" s="53">
        <v>0</v>
      </c>
      <c r="L163" s="49">
        <v>553960</v>
      </c>
      <c r="N163" s="48" t="s">
        <v>124</v>
      </c>
      <c r="R163" s="21"/>
      <c r="S163" s="21"/>
    </row>
    <row r="164" spans="1:19" s="48" customFormat="1" x14ac:dyDescent="0.2">
      <c r="A164" s="49">
        <v>3</v>
      </c>
      <c r="B164" s="53" t="s">
        <v>147</v>
      </c>
      <c r="C164" s="53">
        <v>0</v>
      </c>
      <c r="D164" s="53">
        <v>0</v>
      </c>
      <c r="E164" s="53">
        <v>0</v>
      </c>
      <c r="F164" s="49">
        <v>3050596</v>
      </c>
      <c r="G164" s="49">
        <v>3</v>
      </c>
      <c r="H164" s="53" t="s">
        <v>147</v>
      </c>
      <c r="I164" s="53">
        <v>0</v>
      </c>
      <c r="J164" s="53">
        <v>0</v>
      </c>
      <c r="K164" s="53">
        <v>0</v>
      </c>
      <c r="L164" s="49">
        <v>3050596</v>
      </c>
      <c r="N164" s="48" t="s">
        <v>125</v>
      </c>
      <c r="R164" s="21"/>
      <c r="S164" s="21"/>
    </row>
    <row r="165" spans="1:19" s="48" customFormat="1" x14ac:dyDescent="0.2">
      <c r="A165" s="49">
        <v>4</v>
      </c>
      <c r="B165" s="53" t="s">
        <v>278</v>
      </c>
      <c r="C165" s="53">
        <v>0</v>
      </c>
      <c r="D165" s="53">
        <v>0</v>
      </c>
      <c r="E165" s="53">
        <v>0</v>
      </c>
      <c r="F165" s="49">
        <v>3689192</v>
      </c>
      <c r="G165" s="49">
        <v>4</v>
      </c>
      <c r="H165" s="53" t="s">
        <v>146</v>
      </c>
      <c r="I165" s="53">
        <v>0</v>
      </c>
      <c r="J165" s="53">
        <v>0</v>
      </c>
      <c r="K165" s="53">
        <v>0</v>
      </c>
      <c r="L165" s="49">
        <v>1692097</v>
      </c>
      <c r="R165" s="21"/>
      <c r="S165" s="21"/>
    </row>
    <row r="166" spans="1:19" s="48" customFormat="1" x14ac:dyDescent="0.2">
      <c r="A166" s="49">
        <v>5</v>
      </c>
      <c r="B166" s="53" t="s">
        <v>146</v>
      </c>
      <c r="C166" s="53">
        <v>0</v>
      </c>
      <c r="D166" s="53">
        <v>0</v>
      </c>
      <c r="E166" s="53">
        <v>0</v>
      </c>
      <c r="F166" s="49">
        <v>1692097</v>
      </c>
      <c r="G166" s="49">
        <v>5</v>
      </c>
      <c r="H166" s="53" t="s">
        <v>193</v>
      </c>
      <c r="I166" s="53">
        <v>0</v>
      </c>
      <c r="J166" s="53">
        <v>0</v>
      </c>
      <c r="K166" s="53">
        <v>0</v>
      </c>
      <c r="L166" s="49">
        <v>11115023</v>
      </c>
      <c r="R166" s="21"/>
      <c r="S166" s="21"/>
    </row>
    <row r="167" spans="1:19" s="48" customFormat="1" x14ac:dyDescent="0.2">
      <c r="A167" s="49">
        <v>6</v>
      </c>
      <c r="B167" s="53" t="s">
        <v>279</v>
      </c>
      <c r="C167" s="53">
        <v>0</v>
      </c>
      <c r="D167" s="53">
        <v>0</v>
      </c>
      <c r="E167" s="53">
        <v>0</v>
      </c>
      <c r="F167" s="49">
        <v>2480382</v>
      </c>
      <c r="G167" s="49">
        <v>6</v>
      </c>
      <c r="H167" s="53" t="s">
        <v>278</v>
      </c>
      <c r="I167" s="53">
        <v>0</v>
      </c>
      <c r="J167" s="53">
        <v>0</v>
      </c>
      <c r="K167" s="53">
        <v>0</v>
      </c>
      <c r="L167" s="49">
        <v>3689192</v>
      </c>
      <c r="R167" s="21"/>
      <c r="S167" s="21"/>
    </row>
    <row r="168" spans="1:19" s="48" customFormat="1" x14ac:dyDescent="0.2">
      <c r="A168" s="49">
        <v>7</v>
      </c>
      <c r="B168" s="53" t="s">
        <v>107</v>
      </c>
      <c r="C168" s="53">
        <v>0</v>
      </c>
      <c r="D168" s="53">
        <v>0</v>
      </c>
      <c r="E168" s="53">
        <v>0</v>
      </c>
      <c r="F168" s="49">
        <v>5920853</v>
      </c>
      <c r="G168" s="49">
        <v>7</v>
      </c>
      <c r="H168" s="53" t="s">
        <v>107</v>
      </c>
      <c r="I168" s="53">
        <v>0</v>
      </c>
      <c r="J168" s="53">
        <v>0</v>
      </c>
      <c r="K168" s="53">
        <v>0</v>
      </c>
      <c r="L168" s="49">
        <v>5920853</v>
      </c>
      <c r="R168" s="21"/>
      <c r="S168" s="21"/>
    </row>
    <row r="169" spans="1:19" s="48" customFormat="1" x14ac:dyDescent="0.2">
      <c r="A169" s="49">
        <v>8</v>
      </c>
      <c r="B169" s="53"/>
      <c r="C169" s="53">
        <v>0</v>
      </c>
      <c r="D169" s="53">
        <v>0</v>
      </c>
      <c r="E169" s="53">
        <v>0</v>
      </c>
      <c r="F169" s="49"/>
      <c r="G169" s="49">
        <v>8</v>
      </c>
      <c r="H169" s="53"/>
      <c r="I169" s="53">
        <v>0</v>
      </c>
      <c r="J169" s="53">
        <v>0</v>
      </c>
      <c r="K169" s="53">
        <v>0</v>
      </c>
      <c r="L169" s="49"/>
      <c r="R169" s="21"/>
      <c r="S169" s="21"/>
    </row>
    <row r="170" spans="1:19" s="48" customFormat="1" x14ac:dyDescent="0.2">
      <c r="A170" s="49">
        <v>9</v>
      </c>
      <c r="B170" s="53"/>
      <c r="C170" s="53">
        <v>0</v>
      </c>
      <c r="D170" s="53">
        <v>0</v>
      </c>
      <c r="E170" s="53">
        <v>0</v>
      </c>
      <c r="F170" s="49"/>
      <c r="G170" s="49">
        <v>9</v>
      </c>
      <c r="H170" s="53"/>
      <c r="I170" s="53">
        <v>0</v>
      </c>
      <c r="J170" s="53">
        <v>0</v>
      </c>
      <c r="K170" s="53">
        <v>0</v>
      </c>
      <c r="L170" s="49"/>
      <c r="R170" s="21"/>
      <c r="S170" s="21"/>
    </row>
    <row r="171" spans="1:19" s="48" customFormat="1" x14ac:dyDescent="0.2">
      <c r="A171" s="49">
        <v>10</v>
      </c>
      <c r="B171" s="53"/>
      <c r="C171" s="53">
        <v>0</v>
      </c>
      <c r="D171" s="53">
        <v>0</v>
      </c>
      <c r="E171" s="53">
        <v>0</v>
      </c>
      <c r="F171" s="49"/>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B13347A7-7473-40A6-A450-F1A39A91A529}">
      <formula1>$C$112:$C$113</formula1>
    </dataValidation>
  </dataValidations>
  <hyperlinks>
    <hyperlink ref="O1:P1" location="Home_page" display="Back to home page" xr:uid="{332991CE-5415-4975-B854-6F9E6BA73C37}"/>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DFF80A8A-90FF-45A5-994F-FB024762D4C8}">
          <x14:colorSeries rgb="FF323232"/>
          <x14:colorNegative rgb="FFD00000"/>
          <x14:colorAxis rgb="FF000000"/>
          <x14:colorMarkers rgb="FFD00000"/>
          <x14:colorFirst rgb="FFD00000"/>
          <x14:colorLast rgb="FFD00000"/>
          <x14:colorHigh rgb="FFD00000"/>
          <x14:colorLow rgb="FFD00000"/>
          <x14:sparklines>
            <x14:sparkline>
              <xm:f>'NS beam trawl over 300kW'!D3:N3</xm:f>
              <xm:sqref>C3</xm:sqref>
            </x14:sparkline>
            <x14:sparkline>
              <xm:f>'NS beam trawl over 300kW'!D4:N4</xm:f>
              <xm:sqref>C4</xm:sqref>
            </x14:sparkline>
            <x14:sparkline>
              <xm:f>'NS beam trawl over 300kW'!D5:N5</xm:f>
              <xm:sqref>C5</xm:sqref>
            </x14:sparkline>
            <x14:sparkline>
              <xm:f>'NS beam trawl over 300kW'!D6:N6</xm:f>
              <xm:sqref>C6</xm:sqref>
            </x14:sparkline>
            <x14:sparkline>
              <xm:f>'NS beam trawl over 300kW'!D7:N7</xm:f>
              <xm:sqref>C7</xm:sqref>
            </x14:sparkline>
            <x14:sparkline>
              <xm:f>'NS beam trawl over 300kW'!D8:N8</xm:f>
              <xm:sqref>C8</xm:sqref>
            </x14:sparkline>
            <x14:sparkline>
              <xm:f>'NS beam trawl over 300kW'!D9:N9</xm:f>
              <xm:sqref>C9</xm:sqref>
            </x14:sparkline>
            <x14:sparkline>
              <xm:f>'NS beam trawl over 300kW'!D10:N10</xm:f>
              <xm:sqref>C10</xm:sqref>
            </x14:sparkline>
            <x14:sparkline>
              <xm:f>'NS beam trawl over 300kW'!D11:N11</xm:f>
              <xm:sqref>C11</xm:sqref>
            </x14:sparkline>
            <x14:sparkline>
              <xm:f>'NS beam trawl over 300kW'!D12:N12</xm:f>
              <xm:sqref>C12</xm:sqref>
            </x14:sparkline>
            <x14:sparkline>
              <xm:f>'NS beam trawl over 300kW'!D13:N13</xm:f>
              <xm:sqref>C13</xm:sqref>
            </x14:sparkline>
            <x14:sparkline>
              <xm:f>'NS beam trawl over 300kW'!D14:N14</xm:f>
              <xm:sqref>C14</xm:sqref>
            </x14:sparkline>
            <x14:sparkline>
              <xm:f>'NS beam trawl over 300kW'!D15:N15</xm:f>
              <xm:sqref>C15</xm:sqref>
            </x14:sparkline>
            <x14:sparkline>
              <xm:f>'NS beam trawl over 300kW'!D16:N16</xm:f>
              <xm:sqref>C16</xm:sqref>
            </x14:sparkline>
            <x14:sparkline>
              <xm:f>'NS beam trawl over 300kW'!D17:N17</xm:f>
              <xm:sqref>C17</xm:sqref>
            </x14:sparkline>
            <x14:sparkline>
              <xm:f>'NS beam trawl over 300kW'!D18:N18</xm:f>
              <xm:sqref>C18</xm:sqref>
            </x14:sparkline>
            <x14:sparkline>
              <xm:f>'NS beam trawl over 300kW'!D19:N19</xm:f>
              <xm:sqref>C19</xm:sqref>
            </x14:sparkline>
            <x14:sparkline>
              <xm:f>'NS beam trawl over 300kW'!D20:N20</xm:f>
              <xm:sqref>C20</xm:sqref>
            </x14:sparkline>
            <x14:sparkline>
              <xm:f>'NS beam trawl over 300kW'!D21:N21</xm:f>
              <xm:sqref>C21</xm:sqref>
            </x14:sparkline>
            <x14:sparkline>
              <xm:f>'NS beam trawl over 300kW'!D22:N22</xm:f>
              <xm:sqref>C22</xm:sqref>
            </x14:sparkline>
            <x14:sparkline>
              <xm:f>'NS beam trawl over 300kW'!D23:N23</xm:f>
              <xm:sqref>C23</xm:sqref>
            </x14:sparkline>
            <x14:sparkline>
              <xm:f>'NS beam trawl over 300kW'!D24:N24</xm:f>
              <xm:sqref>C24</xm:sqref>
            </x14:sparkline>
            <x14:sparkline>
              <xm:f>'NS beam trawl over 300kW'!D25:N25</xm:f>
              <xm:sqref>C25</xm:sqref>
            </x14:sparkline>
            <x14:sparkline>
              <xm:f>'NS beam trawl over 300kW'!D26:N26</xm:f>
              <xm:sqref>C26</xm:sqref>
            </x14:sparkline>
            <x14:sparkline>
              <xm:f>'NS beam trawl over 300kW'!D27:N27</xm:f>
              <xm:sqref>C27</xm:sqref>
            </x14:sparkline>
            <x14:sparkline>
              <xm:f>'NS beam trawl over 300kW'!D28:N28</xm:f>
              <xm:sqref>C28</xm:sqref>
            </x14:sparkline>
            <x14:sparkline>
              <xm:f>'NS beam trawl over 300kW'!D29:N29</xm:f>
              <xm:sqref>C29</xm:sqref>
            </x14:sparkline>
            <x14:sparkline>
              <xm:f>'NS beam trawl over 300kW'!D30:N30</xm:f>
              <xm:sqref>C30</xm:sqref>
            </x14:sparkline>
            <x14:sparkline>
              <xm:f>'NS beam trawl over 300kW'!D31:N31</xm:f>
              <xm:sqref>C31</xm:sqref>
            </x14:sparkline>
            <x14:sparkline>
              <xm:f>'NS beam trawl over 300kW'!D32:N32</xm:f>
              <xm:sqref>C32</xm:sqref>
            </x14:sparkline>
            <x14:sparkline>
              <xm:f>'NS beam trawl over 300kW'!D33:N33</xm:f>
              <xm:sqref>C33</xm:sqref>
            </x14:sparkline>
            <x14:sparkline>
              <xm:f>'NS beam trawl over 300kW'!D34:N34</xm:f>
              <xm:sqref>C34</xm:sqref>
            </x14:sparkline>
            <x14:sparkline>
              <xm:f>'NS beam trawl over 300kW'!D35:N35</xm:f>
              <xm:sqref>C35</xm:sqref>
            </x14:sparkline>
            <x14:sparkline>
              <xm:f>'NS beam trawl over 300kW'!D36:N36</xm:f>
              <xm:sqref>C36</xm:sqref>
            </x14:sparkline>
            <x14:sparkline>
              <xm:f>'NS beam trawl over 300kW'!D37:N37</xm:f>
              <xm:sqref>C37</xm:sqref>
            </x14:sparkline>
            <x14:sparkline>
              <xm:f>'NS beam trawl over 300kW'!D38:N38</xm:f>
              <xm:sqref>C38</xm:sqref>
            </x14:sparkline>
            <x14:sparkline>
              <xm:f>'NS beam trawl over 300kW'!D39:N39</xm:f>
              <xm:sqref>C39</xm:sqref>
            </x14:sparkline>
            <x14:sparkline>
              <xm:f>'NS beam trawl over 300kW'!D40:N40</xm:f>
              <xm:sqref>C40</xm:sqref>
            </x14:sparkline>
            <x14:sparkline>
              <xm:f>'NS beam trawl over 300kW'!D41:N41</xm:f>
              <xm:sqref>C41</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8CA39-5B6A-45E1-BFAB-2C20CC394063}">
  <sheetPr codeName="Feuil18">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280</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13</v>
      </c>
      <c r="E3" s="28">
        <v>25</v>
      </c>
      <c r="F3" s="28">
        <v>18</v>
      </c>
      <c r="G3" s="28">
        <v>20</v>
      </c>
      <c r="H3" s="28">
        <v>8</v>
      </c>
      <c r="I3" s="28">
        <v>22</v>
      </c>
      <c r="J3" s="28">
        <v>20</v>
      </c>
      <c r="K3" s="28">
        <v>22</v>
      </c>
      <c r="L3" s="28">
        <v>14</v>
      </c>
      <c r="M3" s="28">
        <v>20</v>
      </c>
      <c r="N3" s="28">
        <v>16</v>
      </c>
      <c r="O3" s="29">
        <f t="shared" ref="O3:O41" si="0">IF(N3=0,"",IFERROR(IF(AND(N3&gt;0,D3&lt;0),"na",IF(AND(N3&lt;0,D3&lt;0),-1,1)*(N3-D3)/D3),""))</f>
        <v>0.23076923076923078</v>
      </c>
      <c r="P3" s="29">
        <f t="shared" ref="P3:P41" si="1">IF(N3=0,"",IFERROR(IF(AND(N3&gt;0,J3&lt;0),"na",IF(AND(N3&lt;0,J3&lt;0),-1,1)*(N3-J3)/J3),""))</f>
        <v>-0.2</v>
      </c>
    </row>
    <row r="4" spans="1:17" ht="18" customHeight="1" x14ac:dyDescent="0.2">
      <c r="A4" s="193"/>
      <c r="B4" s="30" t="s">
        <v>55</v>
      </c>
      <c r="C4" s="31"/>
      <c r="D4" s="31">
        <v>2618</v>
      </c>
      <c r="E4" s="31">
        <v>4552</v>
      </c>
      <c r="F4" s="31">
        <v>3423</v>
      </c>
      <c r="G4" s="31">
        <v>3780</v>
      </c>
      <c r="H4" s="31">
        <v>1643</v>
      </c>
      <c r="I4" s="31">
        <v>4182</v>
      </c>
      <c r="J4" s="31">
        <v>3839</v>
      </c>
      <c r="K4" s="31">
        <v>4255</v>
      </c>
      <c r="L4" s="31">
        <v>2789</v>
      </c>
      <c r="M4" s="31">
        <v>3824</v>
      </c>
      <c r="N4" s="31">
        <v>3127</v>
      </c>
      <c r="O4" s="29">
        <f t="shared" si="0"/>
        <v>0.19442322383498853</v>
      </c>
      <c r="P4" s="29">
        <f t="shared" si="1"/>
        <v>-0.18546496483459235</v>
      </c>
    </row>
    <row r="5" spans="1:17" ht="18" customHeight="1" x14ac:dyDescent="0.2">
      <c r="A5" s="193"/>
      <c r="B5" s="30" t="s">
        <v>56</v>
      </c>
      <c r="C5" s="31"/>
      <c r="D5" s="31">
        <v>550</v>
      </c>
      <c r="E5" s="31">
        <v>601</v>
      </c>
      <c r="F5" s="31">
        <v>541</v>
      </c>
      <c r="G5" s="31">
        <v>525</v>
      </c>
      <c r="H5" s="31">
        <v>237</v>
      </c>
      <c r="I5" s="31">
        <v>586</v>
      </c>
      <c r="J5" s="31">
        <v>497</v>
      </c>
      <c r="K5" s="31">
        <v>539</v>
      </c>
      <c r="L5" s="31">
        <v>375</v>
      </c>
      <c r="M5" s="31">
        <v>486</v>
      </c>
      <c r="N5" s="31">
        <v>416.29000854492188</v>
      </c>
      <c r="O5" s="29">
        <f t="shared" si="0"/>
        <v>-0.24310907537286933</v>
      </c>
      <c r="P5" s="29">
        <f t="shared" si="1"/>
        <v>-0.16239434900418134</v>
      </c>
      <c r="Q5" s="32"/>
    </row>
    <row r="6" spans="1:17" ht="18" customHeight="1" x14ac:dyDescent="0.2">
      <c r="A6" s="193"/>
      <c r="B6" s="30" t="s">
        <v>57</v>
      </c>
      <c r="C6" s="31"/>
      <c r="D6" s="31">
        <v>2340.24365234375</v>
      </c>
      <c r="E6" s="31">
        <v>3787.918212890625</v>
      </c>
      <c r="F6" s="31">
        <v>2964.882080078125</v>
      </c>
      <c r="G6" s="31">
        <v>3158.222900390625</v>
      </c>
      <c r="H6" s="31">
        <v>1356.519775390625</v>
      </c>
      <c r="I6" s="31">
        <v>3450.00048828125</v>
      </c>
      <c r="J6" s="31">
        <v>3126.47998046875</v>
      </c>
      <c r="K6" s="31">
        <v>3466.321533203125</v>
      </c>
      <c r="L6" s="31">
        <v>2304.69775390625</v>
      </c>
      <c r="M6" s="31">
        <v>3132.27978515625</v>
      </c>
      <c r="N6" s="31">
        <v>2581.551513671875</v>
      </c>
      <c r="O6" s="29">
        <f t="shared" si="0"/>
        <v>0.10311228110220728</v>
      </c>
      <c r="P6" s="29">
        <f t="shared" si="1"/>
        <v>-0.1742945645585661</v>
      </c>
    </row>
    <row r="7" spans="1:17" ht="18" customHeight="1" x14ac:dyDescent="0.2">
      <c r="A7" s="193"/>
      <c r="B7" s="30" t="s">
        <v>58</v>
      </c>
      <c r="C7" s="31"/>
      <c r="D7" s="31">
        <v>605.5247802734375</v>
      </c>
      <c r="E7" s="31">
        <v>1628.461181640625</v>
      </c>
      <c r="F7" s="31">
        <v>1101.98291015625</v>
      </c>
      <c r="G7" s="31">
        <v>1413.343017578125</v>
      </c>
      <c r="H7" s="31">
        <v>661.0830078125</v>
      </c>
      <c r="I7" s="31">
        <v>816.9619140625</v>
      </c>
      <c r="J7" s="31">
        <v>473.60379028320313</v>
      </c>
      <c r="K7" s="31">
        <v>983.5885009765625</v>
      </c>
      <c r="L7" s="31">
        <v>358.70660400390625</v>
      </c>
      <c r="M7" s="31">
        <v>875.04718017578125</v>
      </c>
      <c r="N7" s="31">
        <v>396.57479858398438</v>
      </c>
      <c r="O7" s="29">
        <f t="shared" si="0"/>
        <v>-0.34507255276175047</v>
      </c>
      <c r="P7" s="29">
        <f t="shared" si="1"/>
        <v>-0.16264437337622945</v>
      </c>
    </row>
    <row r="8" spans="1:17" ht="18" customHeight="1" x14ac:dyDescent="0.2">
      <c r="A8" s="193"/>
      <c r="B8" s="30" t="s">
        <v>59</v>
      </c>
      <c r="C8" s="33"/>
      <c r="D8" s="33">
        <f ca="1">1.07486625*OFFSET(D$112,MATCH($N$1,$C$112:$C$113,0)-1,0)</f>
        <v>1.0748662499999999</v>
      </c>
      <c r="E8" s="33">
        <f ca="1">3.2445285*OFFSET(E$112,MATCH($N$1,$C$112:$C$113,0)-1,0)</f>
        <v>3.2445284999999999</v>
      </c>
      <c r="F8" s="33">
        <f ca="1">2.4178585*OFFSET(F$112,MATCH($N$1,$C$112:$C$113,0)-1,0)</f>
        <v>2.4178584999999999</v>
      </c>
      <c r="G8" s="33">
        <f ca="1">1.470367875*OFFSET(G$112,MATCH($N$1,$C$112:$C$113,0)-1,0)</f>
        <v>1.470367875</v>
      </c>
      <c r="H8" s="33">
        <f ca="1">0.87124675*OFFSET(H$112,MATCH($N$1,$C$112:$C$113,0)-1,0)</f>
        <v>0.87124674999999996</v>
      </c>
      <c r="I8" s="33">
        <f ca="1">2.62910025*OFFSET(I$112,MATCH($N$1,$C$112:$C$113,0)-1,0)</f>
        <v>2.62910025</v>
      </c>
      <c r="J8" s="33">
        <f ca="1">2.11308175*OFFSET(J$112,MATCH($N$1,$C$112:$C$113,0)-1,0)</f>
        <v>2.1130817500000001</v>
      </c>
      <c r="K8" s="33">
        <f ca="1">2.42244*OFFSET(K$112,MATCH($N$1,$C$112:$C$113,0)-1,0)</f>
        <v>2.4224399999999999</v>
      </c>
      <c r="L8" s="33">
        <f ca="1">0.6840080625*OFFSET(L$112,MATCH($N$1,$C$112:$C$113,0)-1,0)</f>
        <v>0.68400806250000001</v>
      </c>
      <c r="M8" s="33">
        <f ca="1">1.85484825*OFFSET(M$112,MATCH($N$1,$C$112:$C$113,0)-1,0)</f>
        <v>1.8548482500000001</v>
      </c>
      <c r="N8" s="33">
        <v>0.99148768749999994</v>
      </c>
      <c r="O8" s="29">
        <f t="shared" ca="1" si="0"/>
        <v>-7.7571104776989683E-2</v>
      </c>
      <c r="P8" s="29">
        <f t="shared" ca="1" si="1"/>
        <v>-0.53078593031244548</v>
      </c>
    </row>
    <row r="9" spans="1:17" ht="18" customHeight="1" x14ac:dyDescent="0.2">
      <c r="A9" s="193"/>
      <c r="B9" s="30" t="s">
        <v>60</v>
      </c>
      <c r="C9" s="31"/>
      <c r="D9" s="31">
        <v>1026</v>
      </c>
      <c r="E9" s="31">
        <v>2213</v>
      </c>
      <c r="F9" s="31">
        <v>2108</v>
      </c>
      <c r="G9" s="31">
        <v>2305</v>
      </c>
      <c r="H9" s="31">
        <v>958</v>
      </c>
      <c r="I9" s="31">
        <v>1899</v>
      </c>
      <c r="J9" s="31">
        <v>2087</v>
      </c>
      <c r="K9" s="31">
        <v>2161</v>
      </c>
      <c r="L9" s="31">
        <v>937</v>
      </c>
      <c r="M9" s="31">
        <v>1581</v>
      </c>
      <c r="N9" s="31">
        <v>1056</v>
      </c>
      <c r="O9" s="29">
        <f t="shared" si="0"/>
        <v>2.9239766081871343E-2</v>
      </c>
      <c r="P9" s="29">
        <f t="shared" si="1"/>
        <v>-0.4940105414470532</v>
      </c>
    </row>
    <row r="10" spans="1:17" ht="18" customHeight="1" x14ac:dyDescent="0.2">
      <c r="A10" s="193"/>
      <c r="B10" s="30" t="s">
        <v>61</v>
      </c>
      <c r="C10" s="31"/>
      <c r="D10" s="31">
        <v>19.873952865600586</v>
      </c>
      <c r="E10" s="31">
        <v>43.063205718994141</v>
      </c>
      <c r="F10" s="31">
        <v>26.802593231201172</v>
      </c>
      <c r="G10" s="31">
        <v>57.298069000244141</v>
      </c>
      <c r="H10" s="31">
        <v>25.48051643371582</v>
      </c>
      <c r="I10" s="31">
        <v>49.7489013671875</v>
      </c>
      <c r="J10" s="31">
        <v>52.204544067382813</v>
      </c>
      <c r="K10" s="31">
        <v>39.037567138671875</v>
      </c>
      <c r="L10" s="31">
        <v>22.105966567993164</v>
      </c>
      <c r="M10" s="31">
        <v>30.829990386962891</v>
      </c>
      <c r="N10" s="31">
        <v>20.309295654296875</v>
      </c>
      <c r="O10" s="34">
        <f t="shared" si="0"/>
        <v>2.1905193780036327E-2</v>
      </c>
      <c r="P10" s="34">
        <f t="shared" si="1"/>
        <v>-0.61096689920167235</v>
      </c>
    </row>
    <row r="11" spans="1:17" ht="18" customHeight="1" x14ac:dyDescent="0.2">
      <c r="A11" s="194" t="s">
        <v>27</v>
      </c>
      <c r="B11" s="35" t="s">
        <v>62</v>
      </c>
      <c r="C11" s="36"/>
      <c r="D11" s="36">
        <v>15.695384979248047</v>
      </c>
      <c r="E11" s="36">
        <v>13.67080020904541</v>
      </c>
      <c r="F11" s="36">
        <v>14.626111030578613</v>
      </c>
      <c r="G11" s="36">
        <v>13.912500381469727</v>
      </c>
      <c r="H11" s="36">
        <v>14.433750152587891</v>
      </c>
      <c r="I11" s="36">
        <v>13.92909049987793</v>
      </c>
      <c r="J11" s="36">
        <v>13.770999908447266</v>
      </c>
      <c r="K11" s="36">
        <v>13.731363296508789</v>
      </c>
      <c r="L11" s="36">
        <v>14.041428565979004</v>
      </c>
      <c r="M11" s="36">
        <v>13.92449951171875</v>
      </c>
      <c r="N11" s="36">
        <v>14.213125228881836</v>
      </c>
      <c r="O11" s="29">
        <f t="shared" si="0"/>
        <v>-9.4439209508145799E-2</v>
      </c>
      <c r="P11" s="29">
        <f t="shared" si="1"/>
        <v>3.2105535064550127E-2</v>
      </c>
    </row>
    <row r="12" spans="1:17" ht="18" customHeight="1" x14ac:dyDescent="0.2">
      <c r="A12" s="195"/>
      <c r="B12" s="37" t="s">
        <v>55</v>
      </c>
      <c r="C12" s="31"/>
      <c r="D12" s="31">
        <v>201.38461303710938</v>
      </c>
      <c r="E12" s="31">
        <v>182.08000183105469</v>
      </c>
      <c r="F12" s="31">
        <v>190.16667175292969</v>
      </c>
      <c r="G12" s="31">
        <v>189</v>
      </c>
      <c r="H12" s="31">
        <v>205.375</v>
      </c>
      <c r="I12" s="31">
        <v>190.09091186523438</v>
      </c>
      <c r="J12" s="31">
        <v>191.94999694824219</v>
      </c>
      <c r="K12" s="31">
        <v>193.40908813476563</v>
      </c>
      <c r="L12" s="31">
        <v>199.21427917480469</v>
      </c>
      <c r="M12" s="31">
        <v>191.19999694824219</v>
      </c>
      <c r="N12" s="31">
        <v>195.4375</v>
      </c>
      <c r="O12" s="29">
        <f t="shared" si="0"/>
        <v>-2.9531119321482092E-2</v>
      </c>
      <c r="P12" s="29">
        <f t="shared" si="1"/>
        <v>1.8168810144332487E-2</v>
      </c>
    </row>
    <row r="13" spans="1:17" ht="18" customHeight="1" x14ac:dyDescent="0.2">
      <c r="A13" s="195"/>
      <c r="B13" s="37" t="s">
        <v>56</v>
      </c>
      <c r="C13" s="31"/>
      <c r="D13" s="31">
        <v>42.307693481445313</v>
      </c>
      <c r="E13" s="31">
        <v>24.040000915527344</v>
      </c>
      <c r="F13" s="31">
        <v>30.05555534362793</v>
      </c>
      <c r="G13" s="31">
        <v>26.25</v>
      </c>
      <c r="H13" s="31">
        <v>29.625</v>
      </c>
      <c r="I13" s="31">
        <v>26.636363983154297</v>
      </c>
      <c r="J13" s="31">
        <v>24.850000381469727</v>
      </c>
      <c r="K13" s="31">
        <v>24.5</v>
      </c>
      <c r="L13" s="31">
        <v>26.785715103149414</v>
      </c>
      <c r="M13" s="31">
        <v>24.299999237060547</v>
      </c>
      <c r="N13" s="31">
        <v>26.018125534057617</v>
      </c>
      <c r="O13" s="29">
        <f t="shared" si="0"/>
        <v>-0.38502614080183156</v>
      </c>
      <c r="P13" s="29">
        <f t="shared" si="1"/>
        <v>4.7007047672278673E-2</v>
      </c>
    </row>
    <row r="14" spans="1:17" ht="18" customHeight="1" x14ac:dyDescent="0.2">
      <c r="A14" s="195"/>
      <c r="B14" s="37" t="s">
        <v>57</v>
      </c>
      <c r="C14" s="31"/>
      <c r="D14" s="31">
        <v>180.01875305175781</v>
      </c>
      <c r="E14" s="31">
        <v>151.5167236328125</v>
      </c>
      <c r="F14" s="31">
        <v>164.71568298339844</v>
      </c>
      <c r="G14" s="31">
        <v>157.91114807128906</v>
      </c>
      <c r="H14" s="31">
        <v>169.56497192382813</v>
      </c>
      <c r="I14" s="31">
        <v>156.81820678710938</v>
      </c>
      <c r="J14" s="31">
        <v>156.32400512695313</v>
      </c>
      <c r="K14" s="31">
        <v>157.56007385253906</v>
      </c>
      <c r="L14" s="31">
        <v>164.62127685546875</v>
      </c>
      <c r="M14" s="31">
        <v>156.61398315429688</v>
      </c>
      <c r="N14" s="31">
        <v>161.34696960449219</v>
      </c>
      <c r="O14" s="29">
        <f t="shared" si="0"/>
        <v>-0.10372132419946957</v>
      </c>
      <c r="P14" s="29">
        <f t="shared" si="1"/>
        <v>3.2131754003230893E-2</v>
      </c>
    </row>
    <row r="15" spans="1:17" ht="18" customHeight="1" x14ac:dyDescent="0.2">
      <c r="A15" s="195"/>
      <c r="B15" s="37" t="s">
        <v>58</v>
      </c>
      <c r="C15" s="33"/>
      <c r="D15" s="33">
        <v>46.578830718994141</v>
      </c>
      <c r="E15" s="33">
        <v>65.138450622558594</v>
      </c>
      <c r="F15" s="33">
        <v>61.221271514892578</v>
      </c>
      <c r="G15" s="33">
        <v>70.667152404785156</v>
      </c>
      <c r="H15" s="33">
        <v>82.6353759765625</v>
      </c>
      <c r="I15" s="33">
        <v>37.134632110595703</v>
      </c>
      <c r="J15" s="33">
        <v>23.68018913269043</v>
      </c>
      <c r="K15" s="33">
        <v>44.708568572998047</v>
      </c>
      <c r="L15" s="33">
        <v>25.62190055847168</v>
      </c>
      <c r="M15" s="33">
        <v>43.752361297607422</v>
      </c>
      <c r="N15" s="33">
        <v>24.785924911499023</v>
      </c>
      <c r="O15" s="29">
        <f t="shared" si="0"/>
        <v>-0.46787146588049283</v>
      </c>
      <c r="P15" s="29">
        <f t="shared" si="1"/>
        <v>4.6694550141161195E-2</v>
      </c>
    </row>
    <row r="16" spans="1:17" ht="18" customHeight="1" x14ac:dyDescent="0.2">
      <c r="A16" s="195"/>
      <c r="B16" s="37" t="s">
        <v>63</v>
      </c>
      <c r="C16" s="33"/>
      <c r="D16" s="33">
        <f ca="1">82.6820234375*OFFSET(D$112,MATCH($N$1,$C$112:$C$113,0)-1,0)</f>
        <v>82.682023437500007</v>
      </c>
      <c r="E16" s="33">
        <f ca="1">129.781140625*OFFSET(E$112,MATCH($N$1,$C$112:$C$113,0)-1,0)</f>
        <v>129.78114062500001</v>
      </c>
      <c r="F16" s="33">
        <f ca="1">134.325484375*OFFSET(F$112,MATCH($N$1,$C$112:$C$113,0)-1,0)</f>
        <v>134.325484375</v>
      </c>
      <c r="G16" s="33">
        <f ca="1">73.518390625*OFFSET(G$112,MATCH($N$1,$C$112:$C$113,0)-1,0)</f>
        <v>73.518390624999995</v>
      </c>
      <c r="H16" s="33">
        <f ca="1">108.90584375*OFFSET(H$112,MATCH($N$1,$C$112:$C$113,0)-1,0)</f>
        <v>108.90584375</v>
      </c>
      <c r="I16" s="33">
        <f ca="1">119.5045546875*OFFSET(I$112,MATCH($N$1,$C$112:$C$113,0)-1,0)</f>
        <v>119.5045546875</v>
      </c>
      <c r="J16" s="33">
        <f ca="1">105.6540859375*OFFSET(J$112,MATCH($N$1,$C$112:$C$113,0)-1,0)</f>
        <v>105.6540859375</v>
      </c>
      <c r="K16" s="33">
        <f ca="1">110.1109140625*OFFSET(K$112,MATCH($N$1,$C$112:$C$113,0)-1,0)</f>
        <v>110.1109140625</v>
      </c>
      <c r="L16" s="33">
        <f ca="1">48.85771875*OFFSET(L$112,MATCH($N$1,$C$112:$C$113,0)-1,0)</f>
        <v>48.857718749999997</v>
      </c>
      <c r="M16" s="33">
        <f ca="1">92.74240625*OFFSET(M$112,MATCH($N$1,$C$112:$C$113,0)-1,0)</f>
        <v>92.742406250000002</v>
      </c>
      <c r="N16" s="33">
        <v>61.96798046875</v>
      </c>
      <c r="O16" s="29">
        <f t="shared" ca="1" si="0"/>
        <v>-0.25052656076333107</v>
      </c>
      <c r="P16" s="29">
        <f t="shared" ca="1" si="1"/>
        <v>-0.4134824042166495</v>
      </c>
    </row>
    <row r="17" spans="1:16" ht="18" customHeight="1" x14ac:dyDescent="0.2">
      <c r="A17" s="195"/>
      <c r="B17" s="37" t="s">
        <v>60</v>
      </c>
      <c r="C17" s="31"/>
      <c r="D17" s="31">
        <v>78.923080444335938</v>
      </c>
      <c r="E17" s="31">
        <v>88.519996643066406</v>
      </c>
      <c r="F17" s="31">
        <v>117.11111450195313</v>
      </c>
      <c r="G17" s="31">
        <v>115.25</v>
      </c>
      <c r="H17" s="31">
        <v>119.75</v>
      </c>
      <c r="I17" s="31">
        <v>86.318183898925781</v>
      </c>
      <c r="J17" s="31">
        <v>104.34999847412109</v>
      </c>
      <c r="K17" s="31">
        <v>98.227272033691406</v>
      </c>
      <c r="L17" s="31">
        <v>66.928573608398438</v>
      </c>
      <c r="M17" s="31">
        <v>79.050003051757813</v>
      </c>
      <c r="N17" s="31">
        <v>66</v>
      </c>
      <c r="O17" s="29">
        <f t="shared" si="0"/>
        <v>-0.16374272736922024</v>
      </c>
      <c r="P17" s="29">
        <f t="shared" si="1"/>
        <v>-0.36751316756015029</v>
      </c>
    </row>
    <row r="18" spans="1:16" ht="18" customHeight="1" x14ac:dyDescent="0.2">
      <c r="A18" s="195"/>
      <c r="B18" s="37" t="s">
        <v>64</v>
      </c>
      <c r="C18" s="31"/>
      <c r="D18" s="31">
        <v>20.30769157409668</v>
      </c>
      <c r="E18" s="31">
        <v>16.879999160766602</v>
      </c>
      <c r="F18" s="31">
        <v>19.55555534362793</v>
      </c>
      <c r="G18" s="31">
        <v>18.700000762939453</v>
      </c>
      <c r="H18" s="31">
        <v>20</v>
      </c>
      <c r="I18" s="31">
        <v>20.045454025268555</v>
      </c>
      <c r="J18" s="31">
        <v>19.25</v>
      </c>
      <c r="K18" s="31">
        <v>19.727272033691406</v>
      </c>
      <c r="L18" s="31">
        <v>21.857143402099609</v>
      </c>
      <c r="M18" s="31">
        <v>25.049999237060547</v>
      </c>
      <c r="N18" s="31">
        <v>25.125</v>
      </c>
      <c r="O18" s="29">
        <f t="shared" si="0"/>
        <v>0.23721595378413177</v>
      </c>
      <c r="P18" s="29">
        <f t="shared" si="1"/>
        <v>0.30519480519480519</v>
      </c>
    </row>
    <row r="19" spans="1:16" ht="18" customHeight="1" x14ac:dyDescent="0.2">
      <c r="A19" s="195"/>
      <c r="B19" s="37" t="s">
        <v>65</v>
      </c>
      <c r="C19" s="38"/>
      <c r="D19" s="38">
        <v>0.59018009901046753</v>
      </c>
      <c r="E19" s="38">
        <v>0.73586142063140869</v>
      </c>
      <c r="F19" s="38">
        <v>0.5227622389793396</v>
      </c>
      <c r="G19" s="38">
        <v>0.61316400766372681</v>
      </c>
      <c r="H19" s="38">
        <v>0.69006574153900146</v>
      </c>
      <c r="I19" s="38">
        <v>0.43020635843276978</v>
      </c>
      <c r="J19" s="38">
        <v>0.22693042457103729</v>
      </c>
      <c r="K19" s="38">
        <v>0.45515432953834534</v>
      </c>
      <c r="L19" s="38">
        <v>0.38282454013824463</v>
      </c>
      <c r="M19" s="38">
        <v>0.55347704887390137</v>
      </c>
      <c r="N19" s="38">
        <v>0.37554430961608887</v>
      </c>
      <c r="O19" s="29">
        <f t="shared" si="0"/>
        <v>-0.3636784597688914</v>
      </c>
      <c r="P19" s="29">
        <f t="shared" si="1"/>
        <v>0.65488744105588248</v>
      </c>
    </row>
    <row r="20" spans="1:16" ht="18" customHeight="1" x14ac:dyDescent="0.2">
      <c r="A20" s="196"/>
      <c r="B20" s="39" t="s">
        <v>28</v>
      </c>
      <c r="C20" s="40"/>
      <c r="D20" s="40">
        <f ca="1">1775*OFFSET(D$112,MATCH($N$1,$C$112:$C$113,0)-1,0)</f>
        <v>1775</v>
      </c>
      <c r="E20" s="40">
        <f ca="1">1992*OFFSET(E$112,MATCH($N$1,$C$112:$C$113,0)-1,0)</f>
        <v>1992</v>
      </c>
      <c r="F20" s="40">
        <f ca="1">2194*OFFSET(F$112,MATCH($N$1,$C$112:$C$113,0)-1,0)</f>
        <v>2194</v>
      </c>
      <c r="G20" s="40">
        <f ca="1">1040*OFFSET(G$112,MATCH($N$1,$C$112:$C$113,0)-1,0)</f>
        <v>1040</v>
      </c>
      <c r="H20" s="40">
        <f ca="1">1318*OFFSET(H$112,MATCH($N$1,$C$112:$C$113,0)-1,0)</f>
        <v>1318</v>
      </c>
      <c r="I20" s="40">
        <f ca="1">3218*OFFSET(I$112,MATCH($N$1,$C$112:$C$113,0)-1,0)</f>
        <v>3218</v>
      </c>
      <c r="J20" s="40">
        <f ca="1">4462*OFFSET(J$112,MATCH($N$1,$C$112:$C$113,0)-1,0)</f>
        <v>4462</v>
      </c>
      <c r="K20" s="40">
        <f ca="1">2463*OFFSET(K$112,MATCH($N$1,$C$112:$C$113,0)-1,0)</f>
        <v>2463</v>
      </c>
      <c r="L20" s="40">
        <f ca="1">1907*OFFSET(L$112,MATCH($N$1,$C$112:$C$113,0)-1,0)</f>
        <v>1907</v>
      </c>
      <c r="M20" s="40">
        <f ca="1">2120*OFFSET(M$112,MATCH($N$1,$C$112:$C$113,0)-1,0)</f>
        <v>2120</v>
      </c>
      <c r="N20" s="40">
        <v>2500</v>
      </c>
      <c r="O20" s="34">
        <f t="shared" ca="1" si="0"/>
        <v>0.40845070422535212</v>
      </c>
      <c r="P20" s="34">
        <f t="shared" ca="1" si="1"/>
        <v>-0.43971313312415955</v>
      </c>
    </row>
    <row r="21" spans="1:16" ht="18" customHeight="1" x14ac:dyDescent="0.2">
      <c r="A21" s="197" t="s">
        <v>29</v>
      </c>
      <c r="B21" s="35" t="s">
        <v>66</v>
      </c>
      <c r="C21" s="41"/>
      <c r="D21" s="41">
        <v>3.1895745675305078</v>
      </c>
      <c r="E21" s="41">
        <v>3.9223019947286133</v>
      </c>
      <c r="F21" s="41">
        <v>2.7202065528924475</v>
      </c>
      <c r="G21" s="41">
        <v>3.242810071527813</v>
      </c>
      <c r="H21" s="41">
        <v>3.3062912062321512</v>
      </c>
      <c r="I21" s="41">
        <v>2.1382350529235601</v>
      </c>
      <c r="J21" s="41">
        <v>1.1386183900383613</v>
      </c>
      <c r="K21" s="41">
        <v>2.3021595816806091</v>
      </c>
      <c r="L21" s="41">
        <v>1.9644930464613135</v>
      </c>
      <c r="M21" s="41">
        <v>2.834867979398076</v>
      </c>
      <c r="N21" s="41">
        <v>1.9973447556747856</v>
      </c>
      <c r="O21" s="29">
        <f t="shared" si="0"/>
        <v>-0.37378960316290477</v>
      </c>
      <c r="P21" s="29">
        <f t="shared" si="1"/>
        <v>0.75418276496262537</v>
      </c>
    </row>
    <row r="22" spans="1:16" ht="18" customHeight="1" x14ac:dyDescent="0.2">
      <c r="A22" s="197"/>
      <c r="B22" s="37" t="s">
        <v>67</v>
      </c>
      <c r="C22" s="38"/>
      <c r="D22" s="38">
        <f ca="1">5.66180977661747*OFFSET(D$112,MATCH($N$1,$C$112:$C$113,0)-1,0)</f>
        <v>5.6618097766174698</v>
      </c>
      <c r="E22" s="38">
        <f ca="1">7.81475183837582*OFFSET(E$112,MATCH($N$1,$C$112:$C$113,0)-1,0)</f>
        <v>7.8147518383758197</v>
      </c>
      <c r="F22" s="38">
        <f ca="1">5.96840042318367*OFFSET(F$112,MATCH($N$1,$C$112:$C$113,0)-1,0)</f>
        <v>5.9684004231836703</v>
      </c>
      <c r="G22" s="38">
        <f ca="1">3.37364913468796*OFFSET(G$112,MATCH($N$1,$C$112:$C$113,0)-1,0)</f>
        <v>3.3736491346879598</v>
      </c>
      <c r="H22" s="38">
        <f ca="1">4.35738845794135*OFFSET(H$112,MATCH($N$1,$C$112:$C$113,0)-1,0)</f>
        <v>4.35738845794135</v>
      </c>
      <c r="I22" s="38">
        <f ca="1">6.88114607021844*OFFSET(I$112,MATCH($N$1,$C$112:$C$113,0)-1,0)</f>
        <v>6.8811460702184402</v>
      </c>
      <c r="J22" s="38">
        <f ca="1">5.08018261834985*OFFSET(J$112,MATCH($N$1,$C$112:$C$113,0)-1,0)</f>
        <v>5.0801826183498502</v>
      </c>
      <c r="K22" s="38">
        <f ca="1">5.6698951442094*OFFSET(K$112,MATCH($N$1,$C$112:$C$113,0)-1,0)</f>
        <v>5.6698951442094003</v>
      </c>
      <c r="L22" s="38">
        <f ca="1">3.74603939045428*OFFSET(L$112,MATCH($N$1,$C$112:$C$113,0)-1,0)</f>
        <v>3.7460393904542801</v>
      </c>
      <c r="M22" s="38">
        <f ca="1">6.00910373778684*OFFSET(M$112,MATCH($N$1,$C$112:$C$113,0)-1,0)</f>
        <v>6.0091037377868401</v>
      </c>
      <c r="N22" s="38">
        <v>4.993617194071045</v>
      </c>
      <c r="O22" s="29">
        <f t="shared" ca="1" si="0"/>
        <v>-0.11801749068044856</v>
      </c>
      <c r="P22" s="29">
        <f t="shared" ca="1" si="1"/>
        <v>-1.7039825294100051E-2</v>
      </c>
    </row>
    <row r="23" spans="1:16" ht="18" customHeight="1" x14ac:dyDescent="0.2">
      <c r="A23" s="197"/>
      <c r="B23" s="37" t="s">
        <v>11</v>
      </c>
      <c r="C23" s="38"/>
      <c r="D23" s="38">
        <f ca="1">7.67660286299034*OFFSET(D$112,MATCH($N$1,$C$112:$C$113,0)-1,0)</f>
        <v>7.6766028629903396</v>
      </c>
      <c r="E23" s="38">
        <f ca="1">7.99125971758295*OFFSET(E$112,MATCH($N$1,$C$112:$C$113,0)-1,0)</f>
        <v>7.9912597175829498</v>
      </c>
      <c r="F23" s="38">
        <f ca="1">6.82658061017975*OFFSET(F$112,MATCH($N$1,$C$112:$C$113,0)-1,0)</f>
        <v>6.8265806101797502</v>
      </c>
      <c r="G23" s="38">
        <f ca="1">5.69904435393016*OFFSET(G$112,MATCH($N$1,$C$112:$C$113,0)-1,0)</f>
        <v>5.6990443539301596</v>
      </c>
      <c r="H23" s="38">
        <f ca="1">4.64773582052467*OFFSET(H$112,MATCH($N$1,$C$112:$C$113,0)-1,0)</f>
        <v>4.6477358205246704</v>
      </c>
      <c r="I23" s="38">
        <f ca="1">7.58034572493716*OFFSET(I$112,MATCH($N$1,$C$112:$C$113,0)-1,0)</f>
        <v>7.5803457249371604</v>
      </c>
      <c r="J23" s="38">
        <f ca="1">5.44094814151063*OFFSET(J$112,MATCH($N$1,$C$112:$C$113,0)-1,0)</f>
        <v>5.4409481415106304</v>
      </c>
      <c r="K23" s="38">
        <f ca="1">5.62817277772302*OFFSET(K$112,MATCH($N$1,$C$112:$C$113,0)-1,0)</f>
        <v>5.6281727777230204</v>
      </c>
      <c r="L23" s="38">
        <f ca="1">6.38668565506996*OFFSET(L$112,MATCH($N$1,$C$112:$C$113,0)-1,0)</f>
        <v>6.38668565506996</v>
      </c>
      <c r="M23" s="38">
        <f ca="1">9.34008594501488*OFFSET(M$112,MATCH($N$1,$C$112:$C$113,0)-1,0)</f>
        <v>9.3400859450148808</v>
      </c>
      <c r="N23" s="38">
        <v>10.263602928214917</v>
      </c>
      <c r="O23" s="29">
        <f t="shared" ca="1" si="0"/>
        <v>0.33699803303577947</v>
      </c>
      <c r="P23" s="29">
        <f t="shared" ca="1" si="1"/>
        <v>0.88636293919267528</v>
      </c>
    </row>
    <row r="24" spans="1:16" ht="18" customHeight="1" x14ac:dyDescent="0.2">
      <c r="A24" s="197"/>
      <c r="B24" s="37" t="s">
        <v>12</v>
      </c>
      <c r="C24" s="38"/>
      <c r="D24" s="38">
        <f ca="1">-1.67208398853948*OFFSET(D$112,MATCH($N$1,$C$112:$C$113,0)-1,0)</f>
        <v>-1.67208398853948</v>
      </c>
      <c r="E24" s="38">
        <f ca="1">0.170480366901309*OFFSET(E$112,MATCH($N$1,$C$112:$C$113,0)-1,0)</f>
        <v>0.17048036690130899</v>
      </c>
      <c r="F24" s="38">
        <f ca="1">-0.447439319650071*OFFSET(F$112,MATCH($N$1,$C$112:$C$113,0)-1,0)</f>
        <v>-0.447439319650071</v>
      </c>
      <c r="G24" s="38">
        <f ca="1">-2.1635066634234*OFFSET(G$112,MATCH($N$1,$C$112:$C$113,0)-1,0)</f>
        <v>-2.1635066634234001</v>
      </c>
      <c r="H24" s="38">
        <f ca="1">0.00687651893279063*OFFSET(H$112,MATCH($N$1,$C$112:$C$113,0)-1,0)</f>
        <v>6.8765189327906302E-3</v>
      </c>
      <c r="I24" s="38">
        <f ca="1">0.0761350579253141*OFFSET(I$112,MATCH($N$1,$C$112:$C$113,0)-1,0)</f>
        <v>7.6135057925314095E-2</v>
      </c>
      <c r="J24" s="38">
        <f ca="1">0.0625069436501018*OFFSET(J$112,MATCH($N$1,$C$112:$C$113,0)-1,0)</f>
        <v>6.2506943650101801E-2</v>
      </c>
      <c r="K24" s="38">
        <f ca="1">0.514128679154959*OFFSET(K$112,MATCH($N$1,$C$112:$C$113,0)-1,0)</f>
        <v>0.51412867915495897</v>
      </c>
      <c r="L24" s="38">
        <f ca="1">-2.64064626461568*OFFSET(L$112,MATCH($N$1,$C$112:$C$113,0)-1,0)</f>
        <v>-2.6406462646156799</v>
      </c>
      <c r="M24" s="38">
        <f ca="1">-2.78610771992864*OFFSET(M$112,MATCH($N$1,$C$112:$C$113,0)-1,0)</f>
        <v>-2.7861077199286401</v>
      </c>
      <c r="N24" s="38">
        <v>-5.2699857341438721</v>
      </c>
      <c r="O24" s="29">
        <f t="shared" ca="1" si="0"/>
        <v>-2.151747023633102</v>
      </c>
      <c r="P24" s="29">
        <f t="shared" ca="1" si="1"/>
        <v>-85.310404995066321</v>
      </c>
    </row>
    <row r="25" spans="1:16" ht="18" customHeight="1" x14ac:dyDescent="0.2">
      <c r="A25" s="197"/>
      <c r="B25" s="37" t="s">
        <v>68</v>
      </c>
      <c r="C25" s="33"/>
      <c r="D25" s="33">
        <f ca="1">54.1*OFFSET(D$112,MATCH($N$1,$C$112:$C$113,0)-1,0)</f>
        <v>54.1</v>
      </c>
      <c r="E25" s="33">
        <f ca="1">75.35*OFFSET(E$112,MATCH($N$1,$C$112:$C$113,0)-1,0)</f>
        <v>75.349999999999994</v>
      </c>
      <c r="F25" s="33">
        <f ca="1">90.19*OFFSET(F$112,MATCH($N$1,$C$112:$C$113,0)-1,0)</f>
        <v>90.19</v>
      </c>
      <c r="G25" s="33">
        <f ca="1">25.66*OFFSET(G$112,MATCH($N$1,$C$112:$C$113,0)-1,0)</f>
        <v>25.66</v>
      </c>
      <c r="H25" s="33">
        <f ca="1">34.19*OFFSET(H$112,MATCH($N$1,$C$112:$C$113,0)-1,0)</f>
        <v>34.19</v>
      </c>
      <c r="I25" s="33">
        <f ca="1">52.85*OFFSET(I$112,MATCH($N$1,$C$112:$C$113,0)-1,0)</f>
        <v>52.85</v>
      </c>
      <c r="J25" s="33">
        <f ca="1">40.49*OFFSET(J$112,MATCH($N$1,$C$112:$C$113,0)-1,0)</f>
        <v>40.49</v>
      </c>
      <c r="K25" s="33">
        <f ca="1">62.05*OFFSET(K$112,MATCH($N$1,$C$112:$C$113,0)-1,0)</f>
        <v>62.05</v>
      </c>
      <c r="L25" s="33">
        <f ca="1">30.97*OFFSET(L$112,MATCH($N$1,$C$112:$C$113,0)-1,0)</f>
        <v>30.97</v>
      </c>
      <c r="M25" s="33">
        <f ca="1">60.14*OFFSET(M$112,MATCH($N$1,$C$112:$C$113,0)-1,0)</f>
        <v>60.14</v>
      </c>
      <c r="N25" s="33">
        <v>48.84</v>
      </c>
      <c r="O25" s="29">
        <f t="shared" ca="1" si="0"/>
        <v>-9.7227356746765206E-2</v>
      </c>
      <c r="P25" s="29">
        <f t="shared" ca="1" si="1"/>
        <v>0.20622375895282788</v>
      </c>
    </row>
    <row r="26" spans="1:16" ht="18" customHeight="1" x14ac:dyDescent="0.2">
      <c r="A26" s="198"/>
      <c r="B26" s="37" t="s">
        <v>69</v>
      </c>
      <c r="C26" s="33"/>
      <c r="D26" s="33">
        <f ca="1">-15.96*OFFSET(D$112,MATCH($N$1,$C$112:$C$113,0)-1,0)</f>
        <v>-15.96</v>
      </c>
      <c r="E26" s="33">
        <f ca="1">1.63*OFFSET(E$112,MATCH($N$1,$C$112:$C$113,0)-1,0)</f>
        <v>1.63</v>
      </c>
      <c r="F26" s="33">
        <f ca="1">-6.78*OFFSET(F$112,MATCH($N$1,$C$112:$C$113,0)-1,0)</f>
        <v>-6.78</v>
      </c>
      <c r="G26" s="33">
        <f ca="1">-16.44*OFFSET(G$112,MATCH($N$1,$C$112:$C$113,0)-1,0)</f>
        <v>-16.440000000000001</v>
      </c>
      <c r="H26" s="33">
        <f ca="1">0.06*OFFSET(H$112,MATCH($N$1,$C$112:$C$113,0)-1,0)</f>
        <v>0.06</v>
      </c>
      <c r="I26" s="33">
        <f ca="1">0.57*OFFSET(I$112,MATCH($N$1,$C$112:$C$113,0)-1,0)</f>
        <v>0.56999999999999995</v>
      </c>
      <c r="J26" s="33">
        <f ca="1">0.5*OFFSET(J$112,MATCH($N$1,$C$112:$C$113,0)-1,0)</f>
        <v>0.5</v>
      </c>
      <c r="K26" s="33">
        <f ca="1">5.64*OFFSET(K$112,MATCH($N$1,$C$112:$C$113,0)-1,0)</f>
        <v>5.64</v>
      </c>
      <c r="L26" s="33">
        <f ca="1">-21.79*OFFSET(L$112,MATCH($N$1,$C$112:$C$113,0)-1,0)</f>
        <v>-21.79</v>
      </c>
      <c r="M26" s="33">
        <f ca="1">-27.89*OFFSET(M$112,MATCH($N$1,$C$112:$C$113,0)-1,0)</f>
        <v>-27.89</v>
      </c>
      <c r="N26" s="33">
        <v>-51.52</v>
      </c>
      <c r="O26" s="34">
        <f t="shared" ca="1" si="0"/>
        <v>-2.2280701754385963</v>
      </c>
      <c r="P26" s="34">
        <f t="shared" ca="1" si="1"/>
        <v>-104.04</v>
      </c>
    </row>
    <row r="27" spans="1:16" ht="18" customHeight="1" x14ac:dyDescent="0.2">
      <c r="A27" s="187" t="s">
        <v>30</v>
      </c>
      <c r="B27" s="35" t="s">
        <v>63</v>
      </c>
      <c r="C27" s="36"/>
      <c r="D27" s="36">
        <f ca="1">82.7*OFFSET(D$112,MATCH($N$1,$C$112:$C$113,0)-1,0)</f>
        <v>82.7</v>
      </c>
      <c r="E27" s="36">
        <f ca="1">129.8*OFFSET(E$112,MATCH($N$1,$C$112:$C$113,0)-1,0)</f>
        <v>129.80000000000001</v>
      </c>
      <c r="F27" s="36">
        <f ca="1">134.3*OFFSET(F$112,MATCH($N$1,$C$112:$C$113,0)-1,0)</f>
        <v>134.30000000000001</v>
      </c>
      <c r="G27" s="36">
        <f ca="1">73.5*OFFSET(G$112,MATCH($N$1,$C$112:$C$113,0)-1,0)</f>
        <v>73.5</v>
      </c>
      <c r="H27" s="36">
        <f ca="1">108.9*OFFSET(H$112,MATCH($N$1,$C$112:$C$113,0)-1,0)</f>
        <v>108.9</v>
      </c>
      <c r="I27" s="36">
        <f ca="1">119.5*OFFSET(I$112,MATCH($N$1,$C$112:$C$113,0)-1,0)</f>
        <v>119.5</v>
      </c>
      <c r="J27" s="36">
        <f ca="1">105.7*OFFSET(J$112,MATCH($N$1,$C$112:$C$113,0)-1,0)</f>
        <v>105.7</v>
      </c>
      <c r="K27" s="36">
        <f ca="1">110.1*OFFSET(K$112,MATCH($N$1,$C$112:$C$113,0)-1,0)</f>
        <v>110.1</v>
      </c>
      <c r="L27" s="36">
        <f ca="1">48.9*OFFSET(L$112,MATCH($N$1,$C$112:$C$113,0)-1,0)</f>
        <v>48.9</v>
      </c>
      <c r="M27" s="36">
        <f ca="1">92.7*OFFSET(M$112,MATCH($N$1,$C$112:$C$113,0)-1,0)</f>
        <v>92.7</v>
      </c>
      <c r="N27" s="36">
        <v>62</v>
      </c>
      <c r="O27" s="29">
        <f t="shared" ca="1" si="0"/>
        <v>-0.25030229746070137</v>
      </c>
      <c r="P27" s="29">
        <f t="shared" ca="1" si="1"/>
        <v>-0.41343424787133398</v>
      </c>
    </row>
    <row r="28" spans="1:16" ht="18" customHeight="1" x14ac:dyDescent="0.2">
      <c r="A28" s="199"/>
      <c r="B28" s="37" t="s">
        <v>70</v>
      </c>
      <c r="C28" s="33"/>
      <c r="D28" s="33">
        <f ca="1">5*OFFSET(D$112,MATCH($N$1,$C$112:$C$113,0)-1,0)</f>
        <v>5</v>
      </c>
      <c r="E28" s="33">
        <f ca="1">5.8*OFFSET(E$112,MATCH($N$1,$C$112:$C$113,0)-1,0)</f>
        <v>5.8</v>
      </c>
      <c r="F28" s="33">
        <f ca="1">9.2*OFFSET(F$112,MATCH($N$1,$C$112:$C$113,0)-1,0)</f>
        <v>9.1999999999999993</v>
      </c>
      <c r="G28" s="33">
        <f ca="1">3.5*OFFSET(G$112,MATCH($N$1,$C$112:$C$113,0)-1,0)</f>
        <v>3.5</v>
      </c>
      <c r="H28" s="33">
        <f ca="1">7.4*OFFSET(H$112,MATCH($N$1,$C$112:$C$113,0)-1,0)</f>
        <v>7.4</v>
      </c>
      <c r="I28" s="33">
        <f ca="1">13.5*OFFSET(I$112,MATCH($N$1,$C$112:$C$113,0)-1,0)</f>
        <v>13.5</v>
      </c>
      <c r="J28" s="33">
        <f ca="1">8.8*OFFSET(J$112,MATCH($N$1,$C$112:$C$113,0)-1,0)</f>
        <v>8.8000000000000007</v>
      </c>
      <c r="K28" s="33">
        <f ca="1">9.2*OFFSET(K$112,MATCH($N$1,$C$112:$C$113,0)-1,0)</f>
        <v>9.1999999999999993</v>
      </c>
      <c r="L28" s="33"/>
      <c r="M28" s="33">
        <f ca="1">8.4*OFFSET(M$112,MATCH($N$1,$C$112:$C$113,0)-1,0)</f>
        <v>8.4</v>
      </c>
      <c r="N28" s="33"/>
      <c r="O28" s="29" t="str">
        <f t="shared" si="0"/>
        <v/>
      </c>
      <c r="P28" s="29" t="str">
        <f t="shared" si="1"/>
        <v/>
      </c>
    </row>
    <row r="29" spans="1:16" ht="18" customHeight="1" x14ac:dyDescent="0.2">
      <c r="A29" s="199"/>
      <c r="B29" s="42" t="s">
        <v>71</v>
      </c>
      <c r="C29" s="43"/>
      <c r="D29" s="43">
        <f ca="1">87.7*OFFSET(D$112,MATCH($N$1,$C$112:$C$113,0)-1,0)</f>
        <v>87.7</v>
      </c>
      <c r="E29" s="43">
        <f ca="1">135.5*OFFSET(E$112,MATCH($N$1,$C$112:$C$113,0)-1,0)</f>
        <v>135.5</v>
      </c>
      <c r="F29" s="43">
        <f ca="1">143.6*OFFSET(F$112,MATCH($N$1,$C$112:$C$113,0)-1,0)</f>
        <v>143.6</v>
      </c>
      <c r="G29" s="43">
        <f ca="1">77*OFFSET(G$112,MATCH($N$1,$C$112:$C$113,0)-1,0)</f>
        <v>77</v>
      </c>
      <c r="H29" s="43">
        <f ca="1">116.3*OFFSET(H$112,MATCH($N$1,$C$112:$C$113,0)-1,0)</f>
        <v>116.3</v>
      </c>
      <c r="I29" s="43">
        <f ca="1">133*OFFSET(I$112,MATCH($N$1,$C$112:$C$113,0)-1,0)</f>
        <v>133</v>
      </c>
      <c r="J29" s="43">
        <f ca="1">114.5*OFFSET(J$112,MATCH($N$1,$C$112:$C$113,0)-1,0)</f>
        <v>114.5</v>
      </c>
      <c r="K29" s="43">
        <f ca="1">119.3*OFFSET(K$112,MATCH($N$1,$C$112:$C$113,0)-1,0)</f>
        <v>119.3</v>
      </c>
      <c r="L29" s="43">
        <f ca="1">48.9*OFFSET(L$112,MATCH($N$1,$C$112:$C$113,0)-1,0)</f>
        <v>48.9</v>
      </c>
      <c r="M29" s="43">
        <f ca="1">101.2*OFFSET(M$112,MATCH($N$1,$C$112:$C$113,0)-1,0)</f>
        <v>101.2</v>
      </c>
      <c r="N29" s="43">
        <v>62</v>
      </c>
      <c r="O29" s="29">
        <f t="shared" ca="1" si="0"/>
        <v>-0.29304446978335236</v>
      </c>
      <c r="P29" s="29">
        <f t="shared" ca="1" si="1"/>
        <v>-0.45851528384279477</v>
      </c>
    </row>
    <row r="30" spans="1:16" ht="18" customHeight="1" x14ac:dyDescent="0.2">
      <c r="A30" s="199"/>
      <c r="B30" s="37" t="s">
        <v>72</v>
      </c>
      <c r="C30" s="33"/>
      <c r="D30" s="33">
        <f ca="1">54.8*OFFSET(D$112,MATCH($N$1,$C$112:$C$113,0)-1,0)</f>
        <v>54.8</v>
      </c>
      <c r="E30" s="33">
        <f ca="1">60.6*OFFSET(E$112,MATCH($N$1,$C$112:$C$113,0)-1,0)</f>
        <v>60.6</v>
      </c>
      <c r="F30" s="33">
        <f ca="1">80.5*OFFSET(F$112,MATCH($N$1,$C$112:$C$113,0)-1,0)</f>
        <v>80.5</v>
      </c>
      <c r="G30" s="33">
        <f ca="1">69.8*OFFSET(G$112,MATCH($N$1,$C$112:$C$113,0)-1,0)</f>
        <v>69.8</v>
      </c>
      <c r="H30" s="33">
        <f ca="1">53.9*OFFSET(H$112,MATCH($N$1,$C$112:$C$113,0)-1,0)</f>
        <v>53.9</v>
      </c>
      <c r="I30" s="33">
        <f ca="1">36.3*OFFSET(I$112,MATCH($N$1,$C$112:$C$113,0)-1,0)</f>
        <v>36.299999999999997</v>
      </c>
      <c r="J30" s="33">
        <f ca="1">51.6*OFFSET(J$112,MATCH($N$1,$C$112:$C$113,0)-1,0)</f>
        <v>51.6</v>
      </c>
      <c r="K30" s="33">
        <f ca="1">55.7*OFFSET(K$112,MATCH($N$1,$C$112:$C$113,0)-1,0)</f>
        <v>55.7</v>
      </c>
      <c r="L30" s="33">
        <f ca="1">37.6*OFFSET(L$112,MATCH($N$1,$C$112:$C$113,0)-1,0)</f>
        <v>37.6</v>
      </c>
      <c r="M30" s="33">
        <f ca="1">31.5*OFFSET(M$112,MATCH($N$1,$C$112:$C$113,0)-1,0)</f>
        <v>31.5</v>
      </c>
      <c r="N30" s="33">
        <v>33.4</v>
      </c>
      <c r="O30" s="29">
        <f t="shared" ca="1" si="0"/>
        <v>-0.39051094890510946</v>
      </c>
      <c r="P30" s="29">
        <f t="shared" ca="1" si="1"/>
        <v>-0.35271317829457371</v>
      </c>
    </row>
    <row r="31" spans="1:16" ht="18" customHeight="1" x14ac:dyDescent="0.2">
      <c r="A31" s="199"/>
      <c r="B31" s="37" t="s">
        <v>73</v>
      </c>
      <c r="C31" s="33"/>
      <c r="D31" s="33">
        <f ca="1">13.9*OFFSET(D$112,MATCH($N$1,$C$112:$C$113,0)-1,0)</f>
        <v>13.9</v>
      </c>
      <c r="E31" s="33">
        <f ca="1">23*OFFSET(E$112,MATCH($N$1,$C$112:$C$113,0)-1,0)</f>
        <v>23</v>
      </c>
      <c r="F31" s="33">
        <f ca="1">21.2*OFFSET(F$112,MATCH($N$1,$C$112:$C$113,0)-1,0)</f>
        <v>21.2</v>
      </c>
      <c r="G31" s="33">
        <f ca="1">11.1*OFFSET(G$112,MATCH($N$1,$C$112:$C$113,0)-1,0)</f>
        <v>11.1</v>
      </c>
      <c r="H31" s="33">
        <f ca="1">12.5*OFFSET(H$112,MATCH($N$1,$C$112:$C$113,0)-1,0)</f>
        <v>12.5</v>
      </c>
      <c r="I31" s="33">
        <f ca="1">19*OFFSET(I$112,MATCH($N$1,$C$112:$C$113,0)-1,0)</f>
        <v>19</v>
      </c>
      <c r="J31" s="33">
        <f ca="1">21.7*OFFSET(J$112,MATCH($N$1,$C$112:$C$113,0)-1,0)</f>
        <v>21.7</v>
      </c>
      <c r="K31" s="33">
        <f ca="1">21*OFFSET(K$112,MATCH($N$1,$C$112:$C$113,0)-1,0)</f>
        <v>21</v>
      </c>
      <c r="L31" s="33">
        <f ca="1">23.4*OFFSET(L$112,MATCH($N$1,$C$112:$C$113,0)-1,0)</f>
        <v>23.4</v>
      </c>
      <c r="M31" s="33">
        <f ca="1">50.2*OFFSET(M$112,MATCH($N$1,$C$112:$C$113,0)-1,0)</f>
        <v>50.2</v>
      </c>
      <c r="N31" s="33">
        <v>32.9</v>
      </c>
      <c r="O31" s="29">
        <f t="shared" ca="1" si="0"/>
        <v>1.3669064748201438</v>
      </c>
      <c r="P31" s="29">
        <f t="shared" ca="1" si="1"/>
        <v>0.5161290322580645</v>
      </c>
    </row>
    <row r="32" spans="1:16" ht="18" customHeight="1" x14ac:dyDescent="0.2">
      <c r="A32" s="199"/>
      <c r="B32" s="37" t="s">
        <v>74</v>
      </c>
      <c r="C32" s="33"/>
      <c r="D32" s="33">
        <f ca="1">24.5*OFFSET(D$112,MATCH($N$1,$C$112:$C$113,0)-1,0)</f>
        <v>24.5</v>
      </c>
      <c r="E32" s="33">
        <f ca="1">43*OFFSET(E$112,MATCH($N$1,$C$112:$C$113,0)-1,0)</f>
        <v>43</v>
      </c>
      <c r="F32" s="33">
        <f ca="1">44.6*OFFSET(F$112,MATCH($N$1,$C$112:$C$113,0)-1,0)</f>
        <v>44.6</v>
      </c>
      <c r="G32" s="33">
        <f ca="1">34.7*OFFSET(G$112,MATCH($N$1,$C$112:$C$113,0)-1,0)</f>
        <v>34.700000000000003</v>
      </c>
      <c r="H32" s="33">
        <f ca="1">43.9*OFFSET(H$112,MATCH($N$1,$C$112:$C$113,0)-1,0)</f>
        <v>43.9</v>
      </c>
      <c r="I32" s="33">
        <f ca="1">49.1*OFFSET(I$112,MATCH($N$1,$C$112:$C$113,0)-1,0)</f>
        <v>49.1</v>
      </c>
      <c r="J32" s="33">
        <f ca="1">28.2*OFFSET(J$112,MATCH($N$1,$C$112:$C$113,0)-1,0)</f>
        <v>28.2</v>
      </c>
      <c r="K32" s="33">
        <f ca="1">23.1*OFFSET(K$112,MATCH($N$1,$C$112:$C$113,0)-1,0)</f>
        <v>23.1</v>
      </c>
      <c r="L32" s="33"/>
      <c r="M32" s="33">
        <f ca="1">20.1*OFFSET(M$112,MATCH($N$1,$C$112:$C$113,0)-1,0)</f>
        <v>20.100000000000001</v>
      </c>
      <c r="N32" s="33">
        <v>12.8</v>
      </c>
      <c r="O32" s="29">
        <f t="shared" ca="1" si="0"/>
        <v>-0.47755102040816322</v>
      </c>
      <c r="P32" s="29">
        <f t="shared" ca="1" si="1"/>
        <v>-0.54609929078014185</v>
      </c>
    </row>
    <row r="33" spans="1:16" ht="18" customHeight="1" x14ac:dyDescent="0.2">
      <c r="A33" s="199"/>
      <c r="B33" s="37" t="s">
        <v>75</v>
      </c>
      <c r="C33" s="33"/>
      <c r="D33" s="33">
        <f ca="1">93.2*OFFSET(D$112,MATCH($N$1,$C$112:$C$113,0)-1,0)</f>
        <v>93.2</v>
      </c>
      <c r="E33" s="33">
        <f ca="1">126.5*OFFSET(E$112,MATCH($N$1,$C$112:$C$113,0)-1,0)</f>
        <v>126.5</v>
      </c>
      <c r="F33" s="33">
        <f ca="1">146.3*OFFSET(F$112,MATCH($N$1,$C$112:$C$113,0)-1,0)</f>
        <v>146.30000000000001</v>
      </c>
      <c r="G33" s="33">
        <f ca="1">115.6*OFFSET(G$112,MATCH($N$1,$C$112:$C$113,0)-1,0)</f>
        <v>115.6</v>
      </c>
      <c r="H33" s="33">
        <f ca="1">110.3*OFFSET(H$112,MATCH($N$1,$C$112:$C$113,0)-1,0)</f>
        <v>110.3</v>
      </c>
      <c r="I33" s="33">
        <f ca="1">104.5*OFFSET(I$112,MATCH($N$1,$C$112:$C$113,0)-1,0)</f>
        <v>104.5</v>
      </c>
      <c r="J33" s="33">
        <f ca="1">101.5*OFFSET(J$112,MATCH($N$1,$C$112:$C$113,0)-1,0)</f>
        <v>101.5</v>
      </c>
      <c r="K33" s="33">
        <f ca="1">99.8*OFFSET(K$112,MATCH($N$1,$C$112:$C$113,0)-1,0)</f>
        <v>99.8</v>
      </c>
      <c r="L33" s="33">
        <f ca="1">61*OFFSET(L$112,MATCH($N$1,$C$112:$C$113,0)-1,0)</f>
        <v>61</v>
      </c>
      <c r="M33" s="33">
        <f ca="1">101.8*OFFSET(M$112,MATCH($N$1,$C$112:$C$113,0)-1,0)</f>
        <v>101.8</v>
      </c>
      <c r="N33" s="33">
        <v>79.2</v>
      </c>
      <c r="O33" s="29">
        <f t="shared" ca="1" si="0"/>
        <v>-0.15021459227467809</v>
      </c>
      <c r="P33" s="29">
        <f t="shared" ca="1" si="1"/>
        <v>-0.21970443349753691</v>
      </c>
    </row>
    <row r="34" spans="1:16" ht="18" customHeight="1" x14ac:dyDescent="0.2">
      <c r="A34" s="199"/>
      <c r="B34" s="37" t="s">
        <v>76</v>
      </c>
      <c r="C34" s="33"/>
      <c r="D34" s="33">
        <f ca="1">18.9*OFFSET(D$112,MATCH($N$1,$C$112:$C$113,0)-1,0)</f>
        <v>18.899999999999999</v>
      </c>
      <c r="E34" s="33">
        <f ca="1">6.2*OFFSET(E$112,MATCH($N$1,$C$112:$C$113,0)-1,0)</f>
        <v>6.2</v>
      </c>
      <c r="F34" s="33">
        <f ca="1">7.3*OFFSET(F$112,MATCH($N$1,$C$112:$C$113,0)-1,0)</f>
        <v>7.3</v>
      </c>
      <c r="G34" s="33">
        <f ca="1">8.6*OFFSET(G$112,MATCH($N$1,$C$112:$C$113,0)-1,0)</f>
        <v>8.6</v>
      </c>
      <c r="H34" s="33">
        <f ca="1">5.8*OFFSET(H$112,MATCH($N$1,$C$112:$C$113,0)-1,0)</f>
        <v>5.8</v>
      </c>
      <c r="I34" s="33">
        <f ca="1">27.1*OFFSET(I$112,MATCH($N$1,$C$112:$C$113,0)-1,0)</f>
        <v>27.1</v>
      </c>
      <c r="J34" s="33">
        <f ca="1">11.6*OFFSET(J$112,MATCH($N$1,$C$112:$C$113,0)-1,0)</f>
        <v>11.6</v>
      </c>
      <c r="K34" s="33">
        <f ca="1">9.5*OFFSET(K$112,MATCH($N$1,$C$112:$C$113,0)-1,0)</f>
        <v>9.5</v>
      </c>
      <c r="L34" s="33">
        <f ca="1">22.3*OFFSET(L$112,MATCH($N$1,$C$112:$C$113,0)-1,0)</f>
        <v>22.3</v>
      </c>
      <c r="M34" s="33">
        <f ca="1">42.4*OFFSET(M$112,MATCH($N$1,$C$112:$C$113,0)-1,0)</f>
        <v>42.4</v>
      </c>
      <c r="N34" s="33">
        <v>48.2</v>
      </c>
      <c r="O34" s="29">
        <f t="shared" ca="1" si="0"/>
        <v>1.5502645502645507</v>
      </c>
      <c r="P34" s="29">
        <f t="shared" ca="1" si="1"/>
        <v>3.1551724137931036</v>
      </c>
    </row>
    <row r="35" spans="1:16" ht="18" customHeight="1" x14ac:dyDescent="0.2">
      <c r="A35" s="199"/>
      <c r="B35" s="37" t="s">
        <v>77</v>
      </c>
      <c r="C35" s="33"/>
      <c r="D35" s="33">
        <f ca="1">112.1*OFFSET(D$112,MATCH($N$1,$C$112:$C$113,0)-1,0)</f>
        <v>112.1</v>
      </c>
      <c r="E35" s="33">
        <f ca="1">132.7*OFFSET(E$112,MATCH($N$1,$C$112:$C$113,0)-1,0)</f>
        <v>132.69999999999999</v>
      </c>
      <c r="F35" s="33">
        <f ca="1">153.6*OFFSET(F$112,MATCH($N$1,$C$112:$C$113,0)-1,0)</f>
        <v>153.6</v>
      </c>
      <c r="G35" s="33">
        <f ca="1">124.2*OFFSET(G$112,MATCH($N$1,$C$112:$C$113,0)-1,0)</f>
        <v>124.2</v>
      </c>
      <c r="H35" s="33">
        <f ca="1">116.2*OFFSET(H$112,MATCH($N$1,$C$112:$C$113,0)-1,0)</f>
        <v>116.2</v>
      </c>
      <c r="I35" s="33">
        <f ca="1">131.6*OFFSET(I$112,MATCH($N$1,$C$112:$C$113,0)-1,0)</f>
        <v>131.6</v>
      </c>
      <c r="J35" s="33">
        <f ca="1">113.2*OFFSET(J$112,MATCH($N$1,$C$112:$C$113,0)-1,0)</f>
        <v>113.2</v>
      </c>
      <c r="K35" s="33">
        <f ca="1">109.3*OFFSET(K$112,MATCH($N$1,$C$112:$C$113,0)-1,0)</f>
        <v>109.3</v>
      </c>
      <c r="L35" s="33">
        <f ca="1">83.3*OFFSET(L$112,MATCH($N$1,$C$112:$C$113,0)-1,0)</f>
        <v>83.3</v>
      </c>
      <c r="M35" s="33">
        <f ca="1">144.2*OFFSET(M$112,MATCH($N$1,$C$112:$C$113,0)-1,0)</f>
        <v>144.19999999999999</v>
      </c>
      <c r="N35" s="33">
        <v>127.4</v>
      </c>
      <c r="O35" s="29">
        <f t="shared" ca="1" si="0"/>
        <v>0.13648528099910806</v>
      </c>
      <c r="P35" s="29">
        <f t="shared" ca="1" si="1"/>
        <v>0.12544169611307424</v>
      </c>
    </row>
    <row r="36" spans="1:16" ht="18" customHeight="1" x14ac:dyDescent="0.2">
      <c r="A36" s="199"/>
      <c r="B36" s="42" t="s">
        <v>78</v>
      </c>
      <c r="C36" s="43"/>
      <c r="D36" s="43">
        <f ca="1">-10.5*OFFSET(D$112,MATCH($N$1,$C$112:$C$113,0)-1,0)</f>
        <v>-10.5</v>
      </c>
      <c r="E36" s="43">
        <f ca="1">25.8*OFFSET(E$112,MATCH($N$1,$C$112:$C$113,0)-1,0)</f>
        <v>25.8</v>
      </c>
      <c r="F36" s="43">
        <f ca="1">11.1*OFFSET(F$112,MATCH($N$1,$C$112:$C$113,0)-1,0)</f>
        <v>11.1</v>
      </c>
      <c r="G36" s="43">
        <f ca="1">-36*OFFSET(G$112,MATCH($N$1,$C$112:$C$113,0)-1,0)</f>
        <v>-36</v>
      </c>
      <c r="H36" s="43">
        <f ca="1">12.7*OFFSET(H$112,MATCH($N$1,$C$112:$C$113,0)-1,0)</f>
        <v>12.7</v>
      </c>
      <c r="I36" s="43">
        <f ca="1">20.3*OFFSET(I$112,MATCH($N$1,$C$112:$C$113,0)-1,0)</f>
        <v>20.3</v>
      </c>
      <c r="J36" s="43">
        <f ca="1">23*OFFSET(J$112,MATCH($N$1,$C$112:$C$113,0)-1,0)</f>
        <v>23</v>
      </c>
      <c r="K36" s="43">
        <f ca="1">31*OFFSET(K$112,MATCH($N$1,$C$112:$C$113,0)-1,0)</f>
        <v>31</v>
      </c>
      <c r="L36" s="43">
        <f ca="1">-11*OFFSET(L$112,MATCH($N$1,$C$112:$C$113,0)-1,0)</f>
        <v>-11</v>
      </c>
      <c r="M36" s="43">
        <f ca="1">7.2*OFFSET(M$112,MATCH($N$1,$C$112:$C$113,0)-1,0)</f>
        <v>7.2</v>
      </c>
      <c r="N36" s="43">
        <v>-32.500000000000007</v>
      </c>
      <c r="O36" s="29">
        <f t="shared" ca="1" si="0"/>
        <v>-2.0952380952380958</v>
      </c>
      <c r="P36" s="29">
        <f t="shared" ca="1" si="1"/>
        <v>-2.4130434782608701</v>
      </c>
    </row>
    <row r="37" spans="1:16" ht="18" customHeight="1" x14ac:dyDescent="0.2">
      <c r="A37" s="199"/>
      <c r="B37" s="42" t="s">
        <v>79</v>
      </c>
      <c r="C37" s="43"/>
      <c r="D37" s="43">
        <f ca="1">-24.4*OFFSET(D$112,MATCH($N$1,$C$112:$C$113,0)-1,0)</f>
        <v>-24.4</v>
      </c>
      <c r="E37" s="43">
        <f ca="1">2.8*OFFSET(E$112,MATCH($N$1,$C$112:$C$113,0)-1,0)</f>
        <v>2.8</v>
      </c>
      <c r="F37" s="43">
        <f ca="1">-10.1*OFFSET(F$112,MATCH($N$1,$C$112:$C$113,0)-1,0)</f>
        <v>-10.1</v>
      </c>
      <c r="G37" s="43">
        <f ca="1">-47.1*OFFSET(G$112,MATCH($N$1,$C$112:$C$113,0)-1,0)</f>
        <v>-47.1</v>
      </c>
      <c r="H37" s="43">
        <f ca="1">0.2*OFFSET(H$112,MATCH($N$1,$C$112:$C$113,0)-1,0)</f>
        <v>0.2</v>
      </c>
      <c r="I37" s="43">
        <f ca="1">1.3*OFFSET(I$112,MATCH($N$1,$C$112:$C$113,0)-1,0)</f>
        <v>1.3</v>
      </c>
      <c r="J37" s="43">
        <f ca="1">1.3*OFFSET(J$112,MATCH($N$1,$C$112:$C$113,0)-1,0)</f>
        <v>1.3</v>
      </c>
      <c r="K37" s="43">
        <f ca="1">10*OFFSET(K$112,MATCH($N$1,$C$112:$C$113,0)-1,0)</f>
        <v>10</v>
      </c>
      <c r="L37" s="43">
        <f ca="1">-34.4*OFFSET(L$112,MATCH($N$1,$C$112:$C$113,0)-1,0)</f>
        <v>-34.4</v>
      </c>
      <c r="M37" s="43">
        <f ca="1">-43*OFFSET(M$112,MATCH($N$1,$C$112:$C$113,0)-1,0)</f>
        <v>-43</v>
      </c>
      <c r="N37" s="43">
        <v>-65.400000000000006</v>
      </c>
      <c r="O37" s="29">
        <f t="shared" ca="1" si="0"/>
        <v>-1.6803278688524594</v>
      </c>
      <c r="P37" s="29">
        <f t="shared" ca="1" si="1"/>
        <v>-51.307692307692307</v>
      </c>
    </row>
    <row r="38" spans="1:16" ht="18" customHeight="1" x14ac:dyDescent="0.2">
      <c r="A38" s="199"/>
      <c r="B38" s="37" t="s">
        <v>80</v>
      </c>
      <c r="C38" s="33"/>
      <c r="D38" s="33">
        <f ca="1">8*OFFSET(D$112,MATCH($N$1,$C$112:$C$113,0)-1,0)</f>
        <v>8</v>
      </c>
      <c r="E38" s="33">
        <f ca="1">11.6*OFFSET(E$112,MATCH($N$1,$C$112:$C$113,0)-1,0)</f>
        <v>11.6</v>
      </c>
      <c r="F38" s="33">
        <f ca="1">8.8*OFFSET(F$112,MATCH($N$1,$C$112:$C$113,0)-1,0)</f>
        <v>8.8000000000000007</v>
      </c>
      <c r="G38" s="33">
        <f ca="1">7.3*OFFSET(G$112,MATCH($N$1,$C$112:$C$113,0)-1,0)</f>
        <v>7.3</v>
      </c>
      <c r="H38" s="33">
        <f ca="1">10.3*OFFSET(H$112,MATCH($N$1,$C$112:$C$113,0)-1,0)</f>
        <v>10.3</v>
      </c>
      <c r="I38" s="33">
        <f ca="1">11.4*OFFSET(I$112,MATCH($N$1,$C$112:$C$113,0)-1,0)</f>
        <v>11.4</v>
      </c>
      <c r="J38" s="33">
        <f ca="1">4.4*OFFSET(J$112,MATCH($N$1,$C$112:$C$113,0)-1,0)</f>
        <v>4.4000000000000004</v>
      </c>
      <c r="K38" s="33">
        <f ca="1">12.2*OFFSET(K$112,MATCH($N$1,$C$112:$C$113,0)-1,0)</f>
        <v>12.2</v>
      </c>
      <c r="L38" s="33">
        <f ca="1">15.2*OFFSET(L$112,MATCH($N$1,$C$112:$C$113,0)-1,0)</f>
        <v>15.2</v>
      </c>
      <c r="M38" s="33"/>
      <c r="N38" s="33"/>
      <c r="O38" s="29" t="str">
        <f t="shared" si="0"/>
        <v/>
      </c>
      <c r="P38" s="29" t="str">
        <f t="shared" si="1"/>
        <v/>
      </c>
    </row>
    <row r="39" spans="1:16" ht="18" customHeight="1" x14ac:dyDescent="0.2">
      <c r="A39" s="199"/>
      <c r="B39" s="37" t="s">
        <v>81</v>
      </c>
      <c r="C39" s="33"/>
      <c r="D39" s="33">
        <f ca="1">0.2*OFFSET(D$112,MATCH($N$1,$C$112:$C$113,0)-1,0)</f>
        <v>0.2</v>
      </c>
      <c r="E39" s="33"/>
      <c r="F39" s="33"/>
      <c r="G39" s="33"/>
      <c r="H39" s="33"/>
      <c r="I39" s="33"/>
      <c r="J39" s="33"/>
      <c r="K39" s="33"/>
      <c r="L39" s="33"/>
      <c r="M39" s="33"/>
      <c r="N39" s="33"/>
      <c r="O39" s="29" t="str">
        <f t="shared" si="0"/>
        <v/>
      </c>
      <c r="P39" s="29" t="str">
        <f t="shared" si="1"/>
        <v/>
      </c>
    </row>
    <row r="40" spans="1:16" ht="18" customHeight="1" x14ac:dyDescent="0.2">
      <c r="A40" s="199"/>
      <c r="B40" s="37" t="s">
        <v>82</v>
      </c>
      <c r="C40" s="33"/>
      <c r="D40" s="33">
        <f ca="1">0.7*OFFSET(D$112,MATCH($N$1,$C$112:$C$113,0)-1,0)</f>
        <v>0.7</v>
      </c>
      <c r="E40" s="33">
        <f ca="1">4*OFFSET(E$112,MATCH($N$1,$C$112:$C$113,0)-1,0)</f>
        <v>4</v>
      </c>
      <c r="F40" s="33">
        <f ca="1">0.3*OFFSET(F$112,MATCH($N$1,$C$112:$C$113,0)-1,0)</f>
        <v>0.3</v>
      </c>
      <c r="G40" s="33">
        <f ca="1">0.3*OFFSET(G$112,MATCH($N$1,$C$112:$C$113,0)-1,0)</f>
        <v>0.3</v>
      </c>
      <c r="H40" s="33">
        <f ca="1">0.4*OFFSET(H$112,MATCH($N$1,$C$112:$C$113,0)-1,0)</f>
        <v>0.4</v>
      </c>
      <c r="I40" s="33">
        <f ca="1">0.7*OFFSET(I$112,MATCH($N$1,$C$112:$C$113,0)-1,0)</f>
        <v>0.7</v>
      </c>
      <c r="J40" s="33">
        <f ca="1">0.3*OFFSET(J$112,MATCH($N$1,$C$112:$C$113,0)-1,0)</f>
        <v>0.3</v>
      </c>
      <c r="K40" s="33"/>
      <c r="L40" s="33"/>
      <c r="M40" s="33"/>
      <c r="N40" s="33"/>
      <c r="O40" s="29" t="str">
        <f t="shared" si="0"/>
        <v/>
      </c>
      <c r="P40" s="29" t="str">
        <f t="shared" si="1"/>
        <v/>
      </c>
    </row>
    <row r="41" spans="1:16" ht="18" customHeight="1" thickBot="1" x14ac:dyDescent="0.25">
      <c r="A41" s="200"/>
      <c r="B41" s="44" t="s">
        <v>83</v>
      </c>
      <c r="C41" s="45"/>
      <c r="D41" s="45">
        <f ca="1">-33.3*OFFSET(D$112,MATCH($N$1,$C$112:$C$113,0)-1,0)</f>
        <v>-33.299999999999997</v>
      </c>
      <c r="E41" s="45">
        <f ca="1">-12.8*OFFSET(E$112,MATCH($N$1,$C$112:$C$113,0)-1,0)</f>
        <v>-12.8</v>
      </c>
      <c r="F41" s="45">
        <f ca="1">-19.2*OFFSET(F$112,MATCH($N$1,$C$112:$C$113,0)-1,0)</f>
        <v>-19.2</v>
      </c>
      <c r="G41" s="45">
        <f ca="1">-54.8*OFFSET(G$112,MATCH($N$1,$C$112:$C$113,0)-1,0)</f>
        <v>-54.8</v>
      </c>
      <c r="H41" s="45">
        <f ca="1">-10.6*OFFSET(H$112,MATCH($N$1,$C$112:$C$113,0)-1,0)</f>
        <v>-10.6</v>
      </c>
      <c r="I41" s="45">
        <f ca="1">-10.8*OFFSET(I$112,MATCH($N$1,$C$112:$C$113,0)-1,0)</f>
        <v>-10.8</v>
      </c>
      <c r="J41" s="45">
        <f ca="1">-3.4*OFFSET(J$112,MATCH($N$1,$C$112:$C$113,0)-1,0)</f>
        <v>-3.4</v>
      </c>
      <c r="K41" s="45">
        <f ca="1">-2.2*OFFSET(K$112,MATCH($N$1,$C$112:$C$113,0)-1,0)</f>
        <v>-2.2000000000000002</v>
      </c>
      <c r="L41" s="45">
        <f ca="1">-49.6*OFFSET(L$112,MATCH($N$1,$C$112:$C$113,0)-1,0)</f>
        <v>-49.6</v>
      </c>
      <c r="M41" s="45"/>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21</v>
      </c>
      <c r="F46" s="94" t="s">
        <v>21</v>
      </c>
      <c r="G46" s="94" t="s">
        <v>21</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North Sea beam trawl under 300kW</v>
      </c>
      <c r="C48" s="96"/>
      <c r="D48" s="96"/>
      <c r="E48" s="96"/>
      <c r="F48" s="96"/>
      <c r="G48" s="96"/>
      <c r="K48" s="96" t="str">
        <f>$B24&amp;CHAR(10)&amp;$A$1</f>
        <v>Operating profit per kW day at sea (£)
North Sea beam trawl under 300kW</v>
      </c>
    </row>
    <row r="49" spans="1:11" s="82" customFormat="1" x14ac:dyDescent="0.2">
      <c r="A49" s="96" t="str">
        <f>$B22&amp;CHAR(10)&amp;$A$1</f>
        <v>Fishing income per kW day at sea (£)
North Sea beam trawl under 300kW</v>
      </c>
    </row>
    <row r="50" spans="1:11" s="82" customFormat="1" x14ac:dyDescent="0.2">
      <c r="A50" s="96" t="str">
        <f>$B20&amp;CHAR(10)&amp;$A$1</f>
        <v>Average price per tonne landed (£)
North Sea beam trawl under 300kW</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North Sea beam trawl under 300kW</v>
      </c>
      <c r="F62" s="96" t="str">
        <f>$B20&amp;CHAR(10)&amp;$A$1</f>
        <v>Average price per tonne landed (£)
North Sea beam trawl under 300kW</v>
      </c>
      <c r="K62" s="96" t="str">
        <f>"Average annual operating profit per vessel (£'000)"&amp;CHAR(10)&amp;$A$1</f>
        <v>Average annual operating profit per vessel (£'000)
North Sea beam trawl under 300kW</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North Sea beam trawl under 300kW</v>
      </c>
      <c r="F76" s="96" t="str">
        <f>"Top 5 landed species by value in "&amp;A77&amp;CHAR(10)&amp;A1</f>
        <v>Top 5 landed species by value in 2020
North Sea beam trawl under 300kW</v>
      </c>
    </row>
    <row r="77" spans="1:11" s="96" customFormat="1" x14ac:dyDescent="0.2">
      <c r="A77" s="96">
        <v>2020</v>
      </c>
      <c r="B77" s="96" t="s">
        <v>281</v>
      </c>
      <c r="C77" s="97">
        <v>0.94775156166593422</v>
      </c>
      <c r="D77" s="98">
        <v>12153634</v>
      </c>
      <c r="G77" s="96" t="s">
        <v>282</v>
      </c>
      <c r="H77" s="97">
        <v>0.97112617559785164</v>
      </c>
      <c r="I77" s="98">
        <v>12153634</v>
      </c>
      <c r="K77" s="96" t="s">
        <v>87</v>
      </c>
    </row>
    <row r="78" spans="1:11" s="96" customFormat="1" x14ac:dyDescent="0.2">
      <c r="B78" s="96" t="s">
        <v>283</v>
      </c>
      <c r="C78" s="97">
        <v>4.4385262813326262E-2</v>
      </c>
      <c r="D78" s="98">
        <v>553960</v>
      </c>
      <c r="G78" s="96" t="s">
        <v>284</v>
      </c>
      <c r="H78" s="97">
        <v>2.2793264469420628E-2</v>
      </c>
      <c r="I78" s="98">
        <v>553960</v>
      </c>
    </row>
    <row r="79" spans="1:11" s="96" customFormat="1" x14ac:dyDescent="0.2">
      <c r="B79" s="96" t="s">
        <v>285</v>
      </c>
      <c r="C79" s="97">
        <v>2.8816729277222983E-3</v>
      </c>
      <c r="D79" s="98">
        <v>11115023</v>
      </c>
      <c r="G79" s="96" t="s">
        <v>286</v>
      </c>
      <c r="H79" s="97">
        <v>2.2071200190444088E-3</v>
      </c>
      <c r="I79" s="98">
        <v>3050596</v>
      </c>
    </row>
    <row r="80" spans="1:11" s="96" customFormat="1" x14ac:dyDescent="0.2">
      <c r="B80" s="96" t="s">
        <v>287</v>
      </c>
      <c r="C80" s="97">
        <v>2.2219373989791845E-3</v>
      </c>
      <c r="D80" s="98">
        <v>1692097</v>
      </c>
      <c r="G80" s="96" t="s">
        <v>287</v>
      </c>
      <c r="H80" s="97">
        <v>1.9651529763101906E-3</v>
      </c>
      <c r="I80" s="98">
        <v>1692097</v>
      </c>
    </row>
    <row r="81" spans="1:19" s="96" customFormat="1" x14ac:dyDescent="0.2">
      <c r="B81" s="96" t="s">
        <v>288</v>
      </c>
      <c r="C81" s="97">
        <v>1.4497503857737023E-3</v>
      </c>
      <c r="D81" s="98">
        <v>3689192</v>
      </c>
      <c r="G81" s="96" t="s">
        <v>288</v>
      </c>
      <c r="H81" s="97">
        <v>5.2124094669560252E-4</v>
      </c>
      <c r="I81" s="98">
        <v>3689192</v>
      </c>
    </row>
    <row r="82" spans="1:19" s="96" customFormat="1" x14ac:dyDescent="0.2">
      <c r="B82" s="96" t="s">
        <v>289</v>
      </c>
      <c r="C82" s="97">
        <v>1.3098148082644201E-3</v>
      </c>
      <c r="D82" s="98">
        <v>5920853</v>
      </c>
      <c r="G82" s="96" t="s">
        <v>289</v>
      </c>
      <c r="H82" s="97">
        <v>1.3870459906775157E-3</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246</v>
      </c>
      <c r="D92" s="102">
        <v>0.72524384843508638</v>
      </c>
      <c r="E92" s="102">
        <v>0.86021385990708921</v>
      </c>
      <c r="F92" s="102">
        <v>0.82549123139680181</v>
      </c>
      <c r="G92" s="102">
        <v>0.58752159006386417</v>
      </c>
      <c r="H92" s="102">
        <v>0.91882753263998429</v>
      </c>
      <c r="I92" s="102">
        <v>0.97772046937837076</v>
      </c>
      <c r="J92" s="102">
        <v>0.99662054785034349</v>
      </c>
      <c r="K92" s="102">
        <v>0.82312479124538529</v>
      </c>
      <c r="L92" s="102">
        <v>0.97112617559785164</v>
      </c>
      <c r="M92" s="102">
        <v>0.96264237522364593</v>
      </c>
      <c r="O92" s="96">
        <v>12153634</v>
      </c>
    </row>
    <row r="93" spans="1:19" s="96" customFormat="1" hidden="1" x14ac:dyDescent="0.2">
      <c r="B93" s="96">
        <v>2</v>
      </c>
      <c r="C93" s="96" t="s">
        <v>248</v>
      </c>
      <c r="D93" s="102"/>
      <c r="E93" s="102"/>
      <c r="F93" s="102">
        <v>8.5025511785469451E-3</v>
      </c>
      <c r="G93" s="102">
        <v>7.0390720866690085E-2</v>
      </c>
      <c r="H93" s="102">
        <v>4.4916606249783622E-2</v>
      </c>
      <c r="I93" s="102"/>
      <c r="J93" s="102">
        <v>6.2257738603615522E-5</v>
      </c>
      <c r="K93" s="102">
        <v>0.12159645705616602</v>
      </c>
      <c r="L93" s="102">
        <v>2.2793264469420628E-2</v>
      </c>
      <c r="M93" s="102"/>
      <c r="O93" s="96">
        <v>553960</v>
      </c>
    </row>
    <row r="94" spans="1:19" s="96" customFormat="1" hidden="1" x14ac:dyDescent="0.2">
      <c r="B94" s="96">
        <v>3</v>
      </c>
      <c r="C94" s="96" t="s">
        <v>144</v>
      </c>
      <c r="D94" s="102"/>
      <c r="E94" s="102">
        <v>2.3902283170617496E-2</v>
      </c>
      <c r="F94" s="102"/>
      <c r="G94" s="102"/>
      <c r="H94" s="102"/>
      <c r="I94" s="102"/>
      <c r="J94" s="102">
        <v>1.7621714488039549E-4</v>
      </c>
      <c r="K94" s="102">
        <v>2.0434626867137872E-3</v>
      </c>
      <c r="L94" s="102">
        <v>2.2071200190444088E-3</v>
      </c>
      <c r="M94" s="102">
        <v>1.4204110511048327E-3</v>
      </c>
      <c r="O94" s="96">
        <v>3050596</v>
      </c>
    </row>
    <row r="95" spans="1:19" s="96" customFormat="1" hidden="1" x14ac:dyDescent="0.2">
      <c r="B95" s="96">
        <v>4</v>
      </c>
      <c r="C95" s="96" t="s">
        <v>128</v>
      </c>
      <c r="D95" s="102"/>
      <c r="E95" s="102"/>
      <c r="F95" s="102"/>
      <c r="G95" s="102"/>
      <c r="H95" s="102"/>
      <c r="I95" s="102"/>
      <c r="J95" s="102"/>
      <c r="K95" s="102"/>
      <c r="L95" s="102">
        <v>1.9651529763101906E-3</v>
      </c>
      <c r="M95" s="102"/>
      <c r="O95" s="96">
        <v>1692097</v>
      </c>
    </row>
    <row r="96" spans="1:19" s="96" customFormat="1" hidden="1" x14ac:dyDescent="0.2">
      <c r="B96" s="96">
        <v>5</v>
      </c>
      <c r="C96" s="96" t="s">
        <v>106</v>
      </c>
      <c r="D96" s="102"/>
      <c r="E96" s="102">
        <v>5.2218645734163072E-3</v>
      </c>
      <c r="F96" s="102"/>
      <c r="G96" s="102"/>
      <c r="H96" s="102"/>
      <c r="I96" s="102"/>
      <c r="J96" s="102"/>
      <c r="K96" s="102"/>
      <c r="L96" s="102">
        <v>5.2124094669560252E-4</v>
      </c>
      <c r="M96" s="102">
        <v>2.6126396909484758E-4</v>
      </c>
      <c r="O96" s="96">
        <v>3689192</v>
      </c>
    </row>
    <row r="97" spans="1:15" s="96" customFormat="1" hidden="1" x14ac:dyDescent="0.2">
      <c r="B97" s="96">
        <v>6</v>
      </c>
      <c r="C97" s="96" t="s">
        <v>100</v>
      </c>
      <c r="D97" s="102">
        <v>0.12953963751837771</v>
      </c>
      <c r="E97" s="102"/>
      <c r="F97" s="102">
        <v>6.1941782503634338E-3</v>
      </c>
      <c r="G97" s="102">
        <v>0.17309302293875659</v>
      </c>
      <c r="H97" s="102">
        <v>1.7936070225214883E-2</v>
      </c>
      <c r="I97" s="102">
        <v>1.9736091457578639E-2</v>
      </c>
      <c r="J97" s="102"/>
      <c r="K97" s="102"/>
      <c r="L97" s="102"/>
      <c r="M97" s="102">
        <v>3.5094808287773116E-2</v>
      </c>
      <c r="O97" s="96">
        <v>11115023</v>
      </c>
    </row>
    <row r="98" spans="1:15" s="96" customFormat="1" hidden="1" x14ac:dyDescent="0.2">
      <c r="B98" s="96">
        <v>7</v>
      </c>
      <c r="C98" s="96" t="s">
        <v>194</v>
      </c>
      <c r="D98" s="102"/>
      <c r="E98" s="102"/>
      <c r="F98" s="102"/>
      <c r="G98" s="102"/>
      <c r="H98" s="102"/>
      <c r="I98" s="102"/>
      <c r="J98" s="102"/>
      <c r="K98" s="102"/>
      <c r="L98" s="102"/>
      <c r="M98" s="102">
        <v>1.5654253039332688E-4</v>
      </c>
      <c r="O98" s="96">
        <v>2480382</v>
      </c>
    </row>
    <row r="99" spans="1:15" s="96" customFormat="1" hidden="1" x14ac:dyDescent="0.2">
      <c r="B99" s="96">
        <v>8</v>
      </c>
      <c r="C99" s="96" t="s">
        <v>104</v>
      </c>
      <c r="D99" s="102"/>
      <c r="E99" s="102"/>
      <c r="F99" s="102"/>
      <c r="G99" s="102"/>
      <c r="H99" s="102"/>
      <c r="I99" s="102"/>
      <c r="J99" s="102"/>
      <c r="K99" s="102">
        <v>3.4972799658942635E-2</v>
      </c>
      <c r="L99" s="102"/>
      <c r="M99" s="102"/>
      <c r="O99" s="96">
        <v>7434864</v>
      </c>
    </row>
    <row r="100" spans="1:15" s="96" customFormat="1" hidden="1" x14ac:dyDescent="0.2">
      <c r="B100" s="96">
        <v>9</v>
      </c>
      <c r="C100" s="96" t="s">
        <v>245</v>
      </c>
      <c r="D100" s="102"/>
      <c r="E100" s="102"/>
      <c r="F100" s="102"/>
      <c r="G100" s="102"/>
      <c r="H100" s="102"/>
      <c r="I100" s="102"/>
      <c r="J100" s="102"/>
      <c r="K100" s="102">
        <v>1.8101905407144212E-2</v>
      </c>
      <c r="L100" s="102"/>
      <c r="M100" s="102"/>
      <c r="O100" s="96">
        <v>8497745</v>
      </c>
    </row>
    <row r="101" spans="1:15" s="96" customFormat="1" hidden="1" x14ac:dyDescent="0.2">
      <c r="B101" s="96">
        <v>10</v>
      </c>
      <c r="C101" s="96" t="s">
        <v>247</v>
      </c>
      <c r="D101" s="102">
        <v>0.12030315793347739</v>
      </c>
      <c r="E101" s="102">
        <v>9.7772231052043232E-2</v>
      </c>
      <c r="F101" s="102">
        <v>0.14273414139646146</v>
      </c>
      <c r="G101" s="102">
        <v>0.16625556390344598</v>
      </c>
      <c r="H101" s="102"/>
      <c r="I101" s="102">
        <v>2.543451329793567E-3</v>
      </c>
      <c r="J101" s="102">
        <v>2.7078232119932596E-3</v>
      </c>
      <c r="K101" s="102"/>
      <c r="L101" s="102"/>
      <c r="M101" s="102"/>
      <c r="O101" s="96">
        <v>14393110</v>
      </c>
    </row>
    <row r="102" spans="1:15" s="96" customFormat="1" hidden="1" x14ac:dyDescent="0.2">
      <c r="B102" s="96">
        <v>11</v>
      </c>
      <c r="C102" s="96" t="s">
        <v>98</v>
      </c>
      <c r="D102" s="102"/>
      <c r="E102" s="102"/>
      <c r="F102" s="102"/>
      <c r="G102" s="102"/>
      <c r="H102" s="102"/>
      <c r="I102" s="102"/>
      <c r="J102" s="102">
        <v>3.8814204480728843E-4</v>
      </c>
      <c r="K102" s="102"/>
      <c r="L102" s="102"/>
      <c r="M102" s="102"/>
      <c r="O102" s="96">
        <v>2887140</v>
      </c>
    </row>
    <row r="103" spans="1:15" s="96" customFormat="1" hidden="1" x14ac:dyDescent="0.2">
      <c r="B103" s="96">
        <v>12</v>
      </c>
      <c r="C103" s="96" t="s">
        <v>102</v>
      </c>
      <c r="D103" s="102"/>
      <c r="E103" s="102"/>
      <c r="F103" s="102"/>
      <c r="G103" s="102"/>
      <c r="H103" s="102">
        <v>1.4638064064657445E-2</v>
      </c>
      <c r="I103" s="102"/>
      <c r="J103" s="102"/>
      <c r="K103" s="102"/>
      <c r="L103" s="102"/>
      <c r="M103" s="102"/>
      <c r="O103" s="96">
        <v>15057844</v>
      </c>
    </row>
    <row r="104" spans="1:15" s="96" customFormat="1" hidden="1" x14ac:dyDescent="0.2">
      <c r="B104" s="96">
        <v>13</v>
      </c>
      <c r="C104" s="96" t="s">
        <v>126</v>
      </c>
      <c r="D104" s="102"/>
      <c r="E104" s="102"/>
      <c r="F104" s="102"/>
      <c r="G104" s="102"/>
      <c r="H104" s="102">
        <v>1.3992433296469034E-3</v>
      </c>
      <c r="I104" s="102"/>
      <c r="J104" s="102"/>
      <c r="K104" s="102"/>
      <c r="L104" s="102"/>
      <c r="M104" s="102"/>
      <c r="O104" s="96">
        <v>10603512</v>
      </c>
    </row>
    <row r="105" spans="1:15" s="96" customFormat="1" hidden="1" x14ac:dyDescent="0.2">
      <c r="B105" s="96">
        <v>14</v>
      </c>
      <c r="C105" s="96" t="s">
        <v>290</v>
      </c>
      <c r="D105" s="102">
        <v>1.0661954741569318E-2</v>
      </c>
      <c r="E105" s="102">
        <v>7.5626714770666379E-3</v>
      </c>
      <c r="F105" s="102">
        <v>1.0064324158753774E-2</v>
      </c>
      <c r="G105" s="102">
        <v>2.7391022272431113E-3</v>
      </c>
      <c r="H105" s="102"/>
      <c r="I105" s="102"/>
      <c r="J105" s="102"/>
      <c r="K105" s="102"/>
      <c r="L105" s="102"/>
      <c r="M105" s="102"/>
      <c r="O105" s="96">
        <v>10931653</v>
      </c>
    </row>
    <row r="106" spans="1:15" s="96" customFormat="1" hidden="1" x14ac:dyDescent="0.2">
      <c r="B106" s="96">
        <v>15</v>
      </c>
      <c r="C106" s="96" t="s">
        <v>228</v>
      </c>
      <c r="D106" s="102">
        <v>6.443818662694085E-3</v>
      </c>
      <c r="E106" s="102"/>
      <c r="F106" s="102"/>
      <c r="G106" s="102"/>
      <c r="H106" s="102"/>
      <c r="I106" s="102"/>
      <c r="J106" s="102"/>
      <c r="K106" s="102"/>
      <c r="L106" s="102"/>
      <c r="M106" s="102"/>
      <c r="O106" s="96">
        <v>10479842</v>
      </c>
    </row>
    <row r="107" spans="1:15" s="96" customFormat="1" hidden="1" x14ac:dyDescent="0.2">
      <c r="B107" s="96">
        <v>16</v>
      </c>
      <c r="C107" s="96" t="s">
        <v>107</v>
      </c>
      <c r="D107" s="102">
        <v>7.8075827087951506E-3</v>
      </c>
      <c r="E107" s="102">
        <v>5.3270898197671111E-3</v>
      </c>
      <c r="F107" s="102">
        <v>7.0135736190726234E-3</v>
      </c>
      <c r="G107" s="102">
        <v>0</v>
      </c>
      <c r="H107" s="102">
        <v>2.282483490712809E-3</v>
      </c>
      <c r="I107" s="102">
        <v>-1.2165742967762598E-8</v>
      </c>
      <c r="J107" s="102">
        <v>4.5012009371946763E-5</v>
      </c>
      <c r="K107" s="102">
        <v>1.6058394564809952E-4</v>
      </c>
      <c r="L107" s="102">
        <v>1.3870459906775842E-3</v>
      </c>
      <c r="M107" s="102">
        <v>4.2459893798794653E-4</v>
      </c>
      <c r="O107" s="96">
        <v>5920853</v>
      </c>
    </row>
    <row r="108" spans="1:15" s="96" customFormat="1" hidden="1" x14ac:dyDescent="0.2">
      <c r="B108" s="96">
        <v>17</v>
      </c>
      <c r="D108" s="102"/>
      <c r="E108" s="102"/>
      <c r="F108" s="102"/>
      <c r="G108" s="102"/>
      <c r="H108" s="102"/>
      <c r="I108" s="102">
        <v>0</v>
      </c>
      <c r="J108" s="102"/>
      <c r="K108" s="102"/>
      <c r="L108" s="102"/>
      <c r="M108" s="102"/>
      <c r="O108" s="96">
        <v>0</v>
      </c>
    </row>
    <row r="109" spans="1:15" s="96" customFormat="1" hidden="1" x14ac:dyDescent="0.2">
      <c r="B109" s="96">
        <v>18</v>
      </c>
      <c r="D109" s="102"/>
      <c r="E109" s="102"/>
      <c r="F109" s="102"/>
      <c r="G109" s="102"/>
      <c r="H109" s="102"/>
      <c r="I109" s="102">
        <v>0</v>
      </c>
      <c r="J109" s="102"/>
      <c r="K109" s="102"/>
      <c r="L109" s="102"/>
      <c r="M109" s="102"/>
      <c r="O109" s="96">
        <v>0</v>
      </c>
    </row>
    <row r="110" spans="1:15" s="96" customFormat="1" hidden="1" x14ac:dyDescent="0.2">
      <c r="B110" s="96">
        <v>19</v>
      </c>
      <c r="D110" s="102"/>
      <c r="E110" s="102"/>
      <c r="F110" s="102"/>
      <c r="G110" s="102"/>
      <c r="H110" s="102"/>
      <c r="I110" s="102">
        <v>0</v>
      </c>
      <c r="J110" s="102"/>
      <c r="K110" s="102"/>
      <c r="L110" s="102"/>
      <c r="M110" s="102"/>
      <c r="O110" s="96">
        <v>0</v>
      </c>
    </row>
    <row r="111" spans="1:15" s="96" customFormat="1" hidden="1" x14ac:dyDescent="0.2">
      <c r="A111" s="96">
        <v>17</v>
      </c>
      <c r="B111" s="96">
        <v>20</v>
      </c>
      <c r="D111" s="102"/>
      <c r="E111" s="102"/>
      <c r="F111" s="102"/>
      <c r="G111" s="102"/>
      <c r="H111" s="102"/>
      <c r="I111" s="102">
        <v>0</v>
      </c>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t="s">
        <v>108</v>
      </c>
      <c r="D120" s="56">
        <v>6</v>
      </c>
      <c r="E120" s="56" t="s">
        <v>108</v>
      </c>
      <c r="F120" s="57">
        <v>20</v>
      </c>
    </row>
    <row r="121" spans="1:15" ht="18" customHeight="1" x14ac:dyDescent="0.2">
      <c r="A121" s="194" t="s">
        <v>27</v>
      </c>
      <c r="B121" s="35" t="s">
        <v>62</v>
      </c>
      <c r="C121" s="58"/>
      <c r="D121" s="58">
        <v>14.441666603088379</v>
      </c>
      <c r="E121" s="58"/>
      <c r="F121" s="59">
        <v>13.92449951171875</v>
      </c>
    </row>
    <row r="122" spans="1:15" ht="18" customHeight="1" x14ac:dyDescent="0.2">
      <c r="A122" s="195"/>
      <c r="B122" s="37" t="s">
        <v>55</v>
      </c>
      <c r="C122" s="60"/>
      <c r="D122" s="60">
        <v>190.33333587646484</v>
      </c>
      <c r="E122" s="60"/>
      <c r="F122" s="61">
        <v>191.19999694824219</v>
      </c>
    </row>
    <row r="123" spans="1:15" ht="18" customHeight="1" x14ac:dyDescent="0.2">
      <c r="A123" s="195"/>
      <c r="B123" s="37" t="s">
        <v>56</v>
      </c>
      <c r="C123" s="60"/>
      <c r="D123" s="60">
        <v>29</v>
      </c>
      <c r="E123" s="60"/>
      <c r="F123" s="61">
        <v>24.299999237060547</v>
      </c>
    </row>
    <row r="124" spans="1:15" ht="18" customHeight="1" x14ac:dyDescent="0.2">
      <c r="A124" s="195"/>
      <c r="B124" s="37" t="s">
        <v>57</v>
      </c>
      <c r="C124" s="60"/>
      <c r="D124" s="60">
        <v>164.5665283203125</v>
      </c>
      <c r="E124" s="60"/>
      <c r="F124" s="61">
        <v>156.61398315429688</v>
      </c>
    </row>
    <row r="125" spans="1:15" ht="18" customHeight="1" x14ac:dyDescent="0.2">
      <c r="A125" s="195"/>
      <c r="B125" s="37" t="s">
        <v>58</v>
      </c>
      <c r="C125" s="33"/>
      <c r="D125" s="33">
        <v>22.958783149719238</v>
      </c>
      <c r="E125" s="33"/>
      <c r="F125" s="62">
        <v>43.752361297607422</v>
      </c>
    </row>
    <row r="126" spans="1:15" ht="18" customHeight="1" x14ac:dyDescent="0.2">
      <c r="A126" s="195"/>
      <c r="B126" s="37" t="s">
        <v>63</v>
      </c>
      <c r="C126" s="33"/>
      <c r="D126" s="33">
        <f ca="1">48.034970703125*OFFSET($L$112,MATCH($N$1,$C$112:$C$113,0)-1,0)</f>
        <v>48.034970703124998</v>
      </c>
      <c r="E126" s="33"/>
      <c r="F126" s="62">
        <f ca="1">92.74240625*OFFSET($L$112,MATCH($N$1,$C$112:$C$113,0)-1,0)</f>
        <v>92.742406250000002</v>
      </c>
    </row>
    <row r="127" spans="1:15" ht="18" customHeight="1" x14ac:dyDescent="0.2">
      <c r="A127" s="195"/>
      <c r="B127" s="37" t="s">
        <v>60</v>
      </c>
      <c r="C127" s="60"/>
      <c r="D127" s="60">
        <v>71.166666030883789</v>
      </c>
      <c r="E127" s="60"/>
      <c r="F127" s="61">
        <v>79.050003051757813</v>
      </c>
    </row>
    <row r="128" spans="1:15" ht="18" customHeight="1" x14ac:dyDescent="0.2">
      <c r="A128" s="195"/>
      <c r="B128" s="37" t="s">
        <v>64</v>
      </c>
      <c r="C128" s="60"/>
      <c r="D128" s="60">
        <v>26.833333969116211</v>
      </c>
      <c r="E128" s="60"/>
      <c r="F128" s="61">
        <v>25.049999237060547</v>
      </c>
    </row>
    <row r="129" spans="1:15" ht="18" customHeight="1" x14ac:dyDescent="0.2">
      <c r="A129" s="195"/>
      <c r="B129" s="37" t="s">
        <v>65</v>
      </c>
      <c r="C129" s="63"/>
      <c r="D129" s="63">
        <v>0.3226058551029487</v>
      </c>
      <c r="E129" s="63"/>
      <c r="F129" s="64">
        <v>0.55347704887390137</v>
      </c>
    </row>
    <row r="130" spans="1:15" ht="18" customHeight="1" x14ac:dyDescent="0.2">
      <c r="A130" s="196"/>
      <c r="B130" s="39" t="s">
        <v>28</v>
      </c>
      <c r="C130" s="40"/>
      <c r="D130" s="40">
        <f ca="1">2092.22633402992*OFFSET($L$112,MATCH($N$1,$C$112:$C$113,0)-1,0)</f>
        <v>2092.2263340299201</v>
      </c>
      <c r="E130" s="40"/>
      <c r="F130" s="65">
        <f ca="1">2120*OFFSET($L$112,MATCH($N$1,$C$112:$C$113,0)-1,0)</f>
        <v>2120</v>
      </c>
    </row>
    <row r="131" spans="1:15" ht="18" customHeight="1" x14ac:dyDescent="0.2">
      <c r="A131" s="205" t="s">
        <v>29</v>
      </c>
      <c r="B131" s="35" t="s">
        <v>66</v>
      </c>
      <c r="C131" s="66"/>
      <c r="D131" s="66">
        <v>1.8534828987553884</v>
      </c>
      <c r="E131" s="66"/>
      <c r="F131" s="67">
        <v>2.834867979398076</v>
      </c>
    </row>
    <row r="132" spans="1:15" ht="18" customHeight="1" x14ac:dyDescent="0.2">
      <c r="A132" s="206"/>
      <c r="B132" s="37" t="s">
        <v>67</v>
      </c>
      <c r="C132" s="63"/>
      <c r="D132" s="63">
        <f ca="1">3.87790573045014*OFFSET($L$112,MATCH($N$1,$C$112:$C$113,0)-1,0)</f>
        <v>3.8779057304501401</v>
      </c>
      <c r="E132" s="63"/>
      <c r="F132" s="64">
        <f ca="1">6.00910373778684*OFFSET($L$112,MATCH($N$1,$C$112:$C$113,0)-1,0)</f>
        <v>6.0091037377868401</v>
      </c>
    </row>
    <row r="133" spans="1:15" ht="18" customHeight="1" x14ac:dyDescent="0.2">
      <c r="A133" s="206"/>
      <c r="B133" s="37" t="s">
        <v>11</v>
      </c>
      <c r="C133" s="63"/>
      <c r="D133" s="63">
        <f ca="1">6.77281958215933*OFFSET($L$112,MATCH($N$1,$C$112:$C$113,0)-1,0)</f>
        <v>6.7728195821593298</v>
      </c>
      <c r="E133" s="63"/>
      <c r="F133" s="64">
        <f ca="1">8.79521145771548*OFFSET($L$112,MATCH($N$1,$C$112:$C$113,0)-1,0)</f>
        <v>8.7952114577154799</v>
      </c>
    </row>
    <row r="134" spans="1:15" ht="18" customHeight="1" x14ac:dyDescent="0.2">
      <c r="A134" s="207"/>
      <c r="B134" s="39" t="s">
        <v>12</v>
      </c>
      <c r="C134" s="68"/>
      <c r="D134" s="68">
        <f ca="1">-2.89491385170919*OFFSET($L$112,MATCH($N$1,$C$112:$C$113,0)-1,0)</f>
        <v>-2.8949138517091901</v>
      </c>
      <c r="E134" s="68"/>
      <c r="F134" s="69">
        <f ca="1">-2.78610771992864*OFFSET($L$112,MATCH($N$1,$C$112:$C$113,0)-1,0)</f>
        <v>-2.7861077199286401</v>
      </c>
    </row>
    <row r="135" spans="1:15" ht="18" customHeight="1" x14ac:dyDescent="0.2">
      <c r="A135" s="208" t="s">
        <v>49</v>
      </c>
      <c r="B135" s="37" t="s">
        <v>109</v>
      </c>
      <c r="C135" s="70"/>
      <c r="D135" s="70">
        <f ca="1">38.978650390625*OFFSET($L$112,MATCH($N$1,$C$112:$C$113,0)-1,0)</f>
        <v>38.978650390624999</v>
      </c>
      <c r="E135" s="70"/>
      <c r="F135" s="71">
        <f ca="1">31.519353515625*OFFSET($L$112,MATCH($N$1,$C$112:$C$113,0)-1,0)</f>
        <v>31.519353515624999</v>
      </c>
    </row>
    <row r="136" spans="1:15" ht="18" customHeight="1" x14ac:dyDescent="0.2">
      <c r="A136" s="209"/>
      <c r="B136" s="37" t="s">
        <v>110</v>
      </c>
      <c r="C136" s="31"/>
      <c r="D136" s="31">
        <v>75916.665399058722</v>
      </c>
      <c r="E136" s="31"/>
      <c r="F136" s="72">
        <v>85900</v>
      </c>
    </row>
    <row r="137" spans="1:15" ht="18" customHeight="1" x14ac:dyDescent="0.2">
      <c r="A137" s="209"/>
      <c r="B137" s="37" t="s">
        <v>111</v>
      </c>
      <c r="C137" s="31"/>
      <c r="D137" s="31">
        <v>1066.7447223973313</v>
      </c>
      <c r="E137" s="31"/>
      <c r="F137" s="72">
        <v>1086.654052734375</v>
      </c>
    </row>
    <row r="138" spans="1:15" ht="18" customHeight="1" x14ac:dyDescent="0.2">
      <c r="A138" s="209"/>
      <c r="B138" s="37" t="s">
        <v>112</v>
      </c>
      <c r="C138" s="31"/>
      <c r="D138" s="31">
        <f ca="1">547.709378063455*OFFSET($L$112,MATCH($N$1,$C$112:$C$113,0)-1,0)</f>
        <v>547.70937806345501</v>
      </c>
      <c r="E138" s="31"/>
      <c r="F138" s="72">
        <f ca="1">398.726784298639*OFFSET($L$112,MATCH($N$1,$C$112:$C$113,0)-1,0)</f>
        <v>398.72678429863902</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c r="D139" s="31">
        <f ca="1">1697.76639016261*OFFSET($L$112,MATCH($N$1,$C$112:$C$113,0)-1,0)</f>
        <v>1697.7663901626099</v>
      </c>
      <c r="E139" s="31"/>
      <c r="F139" s="72">
        <f ca="1">720.403484082324*OFFSET($L$112,MATCH($N$1,$C$112:$C$113,0)-1,0)</f>
        <v>720.40348408232398</v>
      </c>
      <c r="I139" s="48"/>
      <c r="K139" s="73" t="s">
        <v>114</v>
      </c>
      <c r="L139" s="74">
        <f t="shared" ref="L139:M141" si="2">C140</f>
        <v>0</v>
      </c>
      <c r="M139" s="74">
        <f t="shared" ca="1" si="2"/>
        <v>48.034970703124998</v>
      </c>
      <c r="N139" s="74">
        <f>E140</f>
        <v>0</v>
      </c>
      <c r="O139" s="74"/>
    </row>
    <row r="140" spans="1:15" ht="18" customHeight="1" x14ac:dyDescent="0.2">
      <c r="A140" s="187" t="s">
        <v>50</v>
      </c>
      <c r="B140" s="35" t="s">
        <v>115</v>
      </c>
      <c r="C140" s="75"/>
      <c r="D140" s="75">
        <f ca="1">48.034970703125*OFFSET($L$112,MATCH($N$1,$C$112:$C$113,0)-1,0)</f>
        <v>48.034970703124998</v>
      </c>
      <c r="E140" s="75"/>
      <c r="F140" s="76">
        <f ca="1">101.1518125*OFFSET($L$112,MATCH($N$1,$C$112:$C$113,0)-1,0)</f>
        <v>101.15181250000001</v>
      </c>
      <c r="I140" s="48"/>
      <c r="K140" s="73" t="s">
        <v>116</v>
      </c>
      <c r="L140" s="74">
        <f t="shared" si="2"/>
        <v>0</v>
      </c>
      <c r="M140" s="74">
        <f t="shared" ca="1" si="2"/>
        <v>83.893785156250004</v>
      </c>
      <c r="N140" s="74">
        <f>E141</f>
        <v>0</v>
      </c>
      <c r="O140" s="74"/>
    </row>
    <row r="141" spans="1:15" ht="18" customHeight="1" x14ac:dyDescent="0.2">
      <c r="A141" s="188"/>
      <c r="B141" s="37" t="s">
        <v>117</v>
      </c>
      <c r="C141" s="31"/>
      <c r="D141" s="31">
        <f ca="1">83.89378515625*OFFSET($L$112,MATCH($N$1,$C$112:$C$113,0)-1,0)</f>
        <v>83.893785156250004</v>
      </c>
      <c r="E141" s="31"/>
      <c r="F141" s="72">
        <f ca="1">144.151625*OFFSET($L$112,MATCH($N$1,$C$112:$C$113,0)-1,0)</f>
        <v>144.151625</v>
      </c>
      <c r="I141" s="48"/>
      <c r="K141" s="73" t="s">
        <v>118</v>
      </c>
      <c r="L141" s="74">
        <f t="shared" si="2"/>
        <v>0</v>
      </c>
      <c r="M141" s="74">
        <f t="shared" ca="1" si="2"/>
        <v>-35.858814453124999</v>
      </c>
      <c r="N141" s="74">
        <f>E142</f>
        <v>0</v>
      </c>
      <c r="O141" s="74"/>
    </row>
    <row r="142" spans="1:15" ht="18" customHeight="1" x14ac:dyDescent="0.2">
      <c r="A142" s="189"/>
      <c r="B142" s="39" t="s">
        <v>119</v>
      </c>
      <c r="C142" s="40"/>
      <c r="D142" s="40">
        <f ca="1">-35.858814453125*OFFSET($L$112,MATCH($N$1,$C$112:$C$113,0)-1,0)</f>
        <v>-35.858814453124999</v>
      </c>
      <c r="E142" s="40"/>
      <c r="F142" s="65">
        <f ca="1">-42.9998125*OFFSET($L$112,MATCH($N$1,$C$112:$C$113,0)-1,0)</f>
        <v>-42.999812499999997</v>
      </c>
      <c r="I142" s="48"/>
      <c r="K142" s="73" t="s">
        <v>120</v>
      </c>
      <c r="L142" s="77" t="str">
        <f>IFERROR(L140/L$139,"")</f>
        <v/>
      </c>
      <c r="M142" s="77">
        <f t="shared" ref="M142:N143" ca="1" si="3">IFERROR(M140/M$139,"")</f>
        <v>1.7465147564000107</v>
      </c>
      <c r="N142" s="77" t="str">
        <f t="shared" si="3"/>
        <v/>
      </c>
      <c r="O142" s="77"/>
    </row>
    <row r="143" spans="1:15" ht="18" customHeight="1" x14ac:dyDescent="0.2">
      <c r="I143" s="48"/>
      <c r="K143" s="73" t="s">
        <v>121</v>
      </c>
      <c r="L143" s="77" t="str">
        <f>IFERROR(L141/L$139,"")</f>
        <v/>
      </c>
      <c r="M143" s="77">
        <f t="shared" ca="1" si="3"/>
        <v>-0.74651475640001053</v>
      </c>
      <c r="N143" s="77" t="str">
        <f t="shared" si="3"/>
        <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7</v>
      </c>
      <c r="B161" s="53"/>
      <c r="C161" s="78" t="s">
        <v>45</v>
      </c>
      <c r="D161" s="78" t="s">
        <v>122</v>
      </c>
      <c r="E161" s="78" t="s">
        <v>47</v>
      </c>
      <c r="F161" s="78" t="s">
        <v>123</v>
      </c>
      <c r="G161" s="79">
        <v>7</v>
      </c>
      <c r="H161" s="78"/>
      <c r="I161" s="78" t="s">
        <v>45</v>
      </c>
      <c r="J161" s="78" t="s">
        <v>122</v>
      </c>
      <c r="K161" s="78" t="s">
        <v>47</v>
      </c>
      <c r="L161" s="53" t="s">
        <v>123</v>
      </c>
      <c r="R161" s="21"/>
      <c r="S161" s="21"/>
    </row>
    <row r="162" spans="1:19" s="48" customFormat="1" x14ac:dyDescent="0.2">
      <c r="A162" s="49">
        <v>1</v>
      </c>
      <c r="B162" s="53" t="s">
        <v>246</v>
      </c>
      <c r="C162" s="53">
        <v>0</v>
      </c>
      <c r="D162" s="53">
        <v>0.95158006234214643</v>
      </c>
      <c r="E162" s="53">
        <v>0</v>
      </c>
      <c r="F162" s="49">
        <v>12153634</v>
      </c>
      <c r="G162" s="49">
        <v>1</v>
      </c>
      <c r="H162" s="53" t="s">
        <v>246</v>
      </c>
      <c r="I162" s="53">
        <v>0</v>
      </c>
      <c r="J162" s="53">
        <v>0.97075319907077884</v>
      </c>
      <c r="K162" s="53">
        <v>0</v>
      </c>
      <c r="L162" s="49">
        <v>12153634</v>
      </c>
      <c r="R162" s="21"/>
      <c r="S162" s="21"/>
    </row>
    <row r="163" spans="1:19" s="48" customFormat="1" x14ac:dyDescent="0.2">
      <c r="A163" s="49">
        <v>2</v>
      </c>
      <c r="B163" s="53" t="s">
        <v>248</v>
      </c>
      <c r="C163" s="53">
        <v>0</v>
      </c>
      <c r="D163" s="53">
        <v>3.4308594664080795E-2</v>
      </c>
      <c r="E163" s="53">
        <v>0</v>
      </c>
      <c r="F163" s="49">
        <v>553960</v>
      </c>
      <c r="G163" s="49">
        <v>2</v>
      </c>
      <c r="H163" s="53" t="s">
        <v>248</v>
      </c>
      <c r="I163" s="53">
        <v>0</v>
      </c>
      <c r="J163" s="53">
        <v>1.8440805498201825E-2</v>
      </c>
      <c r="K163" s="53">
        <v>0</v>
      </c>
      <c r="L163" s="49">
        <v>553960</v>
      </c>
      <c r="N163" s="48" t="s">
        <v>124</v>
      </c>
      <c r="R163" s="21"/>
      <c r="S163" s="21"/>
    </row>
    <row r="164" spans="1:19" s="48" customFormat="1" x14ac:dyDescent="0.2">
      <c r="A164" s="49">
        <v>3</v>
      </c>
      <c r="B164" s="53" t="s">
        <v>127</v>
      </c>
      <c r="C164" s="53">
        <v>0</v>
      </c>
      <c r="D164" s="53">
        <v>5.2786957546016996E-3</v>
      </c>
      <c r="E164" s="53">
        <v>0</v>
      </c>
      <c r="F164" s="49">
        <v>11115023</v>
      </c>
      <c r="G164" s="49">
        <v>3</v>
      </c>
      <c r="H164" s="53" t="s">
        <v>144</v>
      </c>
      <c r="I164" s="53">
        <v>0</v>
      </c>
      <c r="J164" s="53">
        <v>4.0690193771238193E-3</v>
      </c>
      <c r="K164" s="53">
        <v>0</v>
      </c>
      <c r="L164" s="49">
        <v>3050596</v>
      </c>
      <c r="N164" s="48" t="s">
        <v>125</v>
      </c>
      <c r="R164" s="21"/>
      <c r="S164" s="21"/>
    </row>
    <row r="165" spans="1:19" s="48" customFormat="1" x14ac:dyDescent="0.2">
      <c r="A165" s="49">
        <v>4</v>
      </c>
      <c r="B165" s="53" t="s">
        <v>128</v>
      </c>
      <c r="C165" s="53">
        <v>0</v>
      </c>
      <c r="D165" s="53">
        <v>4.0701813873973624E-3</v>
      </c>
      <c r="E165" s="53">
        <v>0</v>
      </c>
      <c r="F165" s="49">
        <v>1692097</v>
      </c>
      <c r="G165" s="49">
        <v>4</v>
      </c>
      <c r="H165" s="53" t="s">
        <v>128</v>
      </c>
      <c r="I165" s="53">
        <v>0</v>
      </c>
      <c r="J165" s="53">
        <v>3.6229319070200604E-3</v>
      </c>
      <c r="K165" s="53">
        <v>0</v>
      </c>
      <c r="L165" s="49">
        <v>1692097</v>
      </c>
      <c r="R165" s="21"/>
      <c r="S165" s="21"/>
    </row>
    <row r="166" spans="1:19" s="48" customFormat="1" x14ac:dyDescent="0.2">
      <c r="A166" s="49">
        <v>5</v>
      </c>
      <c r="B166" s="53" t="s">
        <v>106</v>
      </c>
      <c r="C166" s="53">
        <v>0</v>
      </c>
      <c r="D166" s="53">
        <v>2.6556765457295172E-3</v>
      </c>
      <c r="E166" s="53">
        <v>0</v>
      </c>
      <c r="F166" s="49">
        <v>3689192</v>
      </c>
      <c r="G166" s="49">
        <v>5</v>
      </c>
      <c r="H166" s="53" t="s">
        <v>106</v>
      </c>
      <c r="I166" s="53">
        <v>0</v>
      </c>
      <c r="J166" s="53">
        <v>9.6095341166496651E-4</v>
      </c>
      <c r="K166" s="53">
        <v>0</v>
      </c>
      <c r="L166" s="49">
        <v>3689192</v>
      </c>
      <c r="R166" s="21"/>
      <c r="S166" s="21"/>
    </row>
    <row r="167" spans="1:19" s="48" customFormat="1" x14ac:dyDescent="0.2">
      <c r="A167" s="49">
        <v>6</v>
      </c>
      <c r="B167" s="53" t="s">
        <v>107</v>
      </c>
      <c r="C167" s="53">
        <v>0</v>
      </c>
      <c r="D167" s="53">
        <v>2.1067893060442433E-3</v>
      </c>
      <c r="E167" s="53">
        <v>0</v>
      </c>
      <c r="F167" s="49">
        <v>5920853</v>
      </c>
      <c r="G167" s="49">
        <v>6</v>
      </c>
      <c r="H167" s="53" t="s">
        <v>107</v>
      </c>
      <c r="I167" s="53">
        <v>0</v>
      </c>
      <c r="J167" s="53">
        <v>2.1530907352105277E-3</v>
      </c>
      <c r="K167" s="53">
        <v>0</v>
      </c>
      <c r="L167" s="49">
        <v>5920853</v>
      </c>
      <c r="R167" s="21"/>
      <c r="S167" s="21"/>
    </row>
    <row r="168" spans="1:19" s="48" customFormat="1" x14ac:dyDescent="0.2">
      <c r="A168" s="49">
        <v>7</v>
      </c>
      <c r="B168" s="53"/>
      <c r="C168" s="53">
        <v>0</v>
      </c>
      <c r="D168" s="53">
        <v>0</v>
      </c>
      <c r="E168" s="53">
        <v>0</v>
      </c>
      <c r="F168" s="49">
        <v>11115023</v>
      </c>
      <c r="G168" s="49">
        <v>7</v>
      </c>
      <c r="H168" s="53"/>
      <c r="I168" s="53">
        <v>0</v>
      </c>
      <c r="J168" s="53">
        <v>0</v>
      </c>
      <c r="K168" s="53">
        <v>0</v>
      </c>
      <c r="L168" s="49">
        <v>11115023</v>
      </c>
      <c r="R168" s="21"/>
      <c r="S168" s="21"/>
    </row>
    <row r="169" spans="1:19" s="48" customFormat="1" x14ac:dyDescent="0.2">
      <c r="A169" s="49">
        <v>8</v>
      </c>
      <c r="B169" s="53"/>
      <c r="C169" s="53">
        <v>0</v>
      </c>
      <c r="D169" s="53">
        <v>0</v>
      </c>
      <c r="E169" s="53">
        <v>0</v>
      </c>
      <c r="F169" s="49">
        <v>11115023</v>
      </c>
      <c r="G169" s="49">
        <v>8</v>
      </c>
      <c r="H169" s="53"/>
      <c r="I169" s="53">
        <v>0</v>
      </c>
      <c r="J169" s="53">
        <v>0</v>
      </c>
      <c r="K169" s="53">
        <v>0</v>
      </c>
      <c r="L169" s="49">
        <v>11115023</v>
      </c>
      <c r="R169" s="21"/>
      <c r="S169" s="21"/>
    </row>
    <row r="170" spans="1:19" s="48" customFormat="1" x14ac:dyDescent="0.2">
      <c r="A170" s="49">
        <v>9</v>
      </c>
      <c r="B170" s="53"/>
      <c r="C170" s="53">
        <v>0</v>
      </c>
      <c r="D170" s="53">
        <v>0</v>
      </c>
      <c r="E170" s="53">
        <v>0</v>
      </c>
      <c r="F170" s="49">
        <v>11115023</v>
      </c>
      <c r="G170" s="49">
        <v>9</v>
      </c>
      <c r="H170" s="53"/>
      <c r="I170" s="53">
        <v>0</v>
      </c>
      <c r="J170" s="53">
        <v>0</v>
      </c>
      <c r="K170" s="53">
        <v>0</v>
      </c>
      <c r="L170" s="49">
        <v>11115023</v>
      </c>
      <c r="R170" s="21"/>
      <c r="S170" s="21"/>
    </row>
    <row r="171" spans="1:19" s="48" customFormat="1" x14ac:dyDescent="0.2">
      <c r="A171" s="49">
        <v>10</v>
      </c>
      <c r="B171" s="53"/>
      <c r="C171" s="53">
        <v>0</v>
      </c>
      <c r="D171" s="53">
        <v>0</v>
      </c>
      <c r="E171" s="53">
        <v>0</v>
      </c>
      <c r="F171" s="49">
        <v>11115023</v>
      </c>
      <c r="G171" s="49">
        <v>10</v>
      </c>
      <c r="H171" s="53"/>
      <c r="I171" s="53">
        <v>0</v>
      </c>
      <c r="J171" s="53">
        <v>0</v>
      </c>
      <c r="K171" s="53">
        <v>0</v>
      </c>
      <c r="L171" s="49">
        <v>11115023</v>
      </c>
      <c r="R171" s="21"/>
      <c r="S171" s="21"/>
    </row>
    <row r="172" spans="1:19" s="48" customFormat="1" x14ac:dyDescent="0.2">
      <c r="A172" s="49">
        <v>11</v>
      </c>
      <c r="B172" s="53"/>
      <c r="C172" s="53">
        <v>0</v>
      </c>
      <c r="D172" s="53">
        <v>0</v>
      </c>
      <c r="E172" s="53">
        <v>0</v>
      </c>
      <c r="F172" s="49">
        <v>11115023</v>
      </c>
      <c r="G172" s="49">
        <v>11</v>
      </c>
      <c r="H172" s="53"/>
      <c r="I172" s="53">
        <v>0</v>
      </c>
      <c r="J172" s="53">
        <v>0</v>
      </c>
      <c r="K172" s="53">
        <v>0</v>
      </c>
      <c r="L172" s="49">
        <v>11115023</v>
      </c>
      <c r="R172" s="21"/>
      <c r="S172" s="21"/>
    </row>
    <row r="173" spans="1:19" s="48" customFormat="1" x14ac:dyDescent="0.2">
      <c r="A173" s="49">
        <v>12</v>
      </c>
      <c r="B173" s="53"/>
      <c r="C173" s="53">
        <v>0</v>
      </c>
      <c r="D173" s="53">
        <v>0</v>
      </c>
      <c r="E173" s="53">
        <v>0</v>
      </c>
      <c r="F173" s="49">
        <v>11115023</v>
      </c>
      <c r="G173" s="49">
        <v>12</v>
      </c>
      <c r="H173" s="53"/>
      <c r="I173" s="53">
        <v>0</v>
      </c>
      <c r="J173" s="53">
        <v>0</v>
      </c>
      <c r="K173" s="53">
        <v>0</v>
      </c>
      <c r="L173" s="49">
        <v>11115023</v>
      </c>
      <c r="R173" s="21"/>
      <c r="S173" s="21"/>
    </row>
    <row r="174" spans="1:19" s="48" customFormat="1" x14ac:dyDescent="0.2">
      <c r="A174" s="49">
        <v>13</v>
      </c>
      <c r="B174" s="53"/>
      <c r="C174" s="53">
        <v>0</v>
      </c>
      <c r="D174" s="53">
        <v>0</v>
      </c>
      <c r="E174" s="53">
        <v>0</v>
      </c>
      <c r="F174" s="49">
        <v>11115023</v>
      </c>
      <c r="G174" s="49">
        <v>13</v>
      </c>
      <c r="H174" s="53"/>
      <c r="I174" s="53">
        <v>0</v>
      </c>
      <c r="J174" s="53">
        <v>0</v>
      </c>
      <c r="K174" s="53">
        <v>0</v>
      </c>
      <c r="L174" s="49">
        <v>11115023</v>
      </c>
      <c r="R174" s="21"/>
      <c r="S174" s="21"/>
    </row>
    <row r="175" spans="1:19" s="48" customFormat="1" x14ac:dyDescent="0.2">
      <c r="A175" s="49">
        <v>14</v>
      </c>
      <c r="B175" s="53"/>
      <c r="C175" s="53">
        <v>0</v>
      </c>
      <c r="D175" s="53">
        <v>0</v>
      </c>
      <c r="E175" s="53">
        <v>0</v>
      </c>
      <c r="F175" s="49">
        <v>11115023</v>
      </c>
      <c r="G175" s="49">
        <v>14</v>
      </c>
      <c r="H175" s="53"/>
      <c r="I175" s="53">
        <v>0</v>
      </c>
      <c r="J175" s="53">
        <v>0</v>
      </c>
      <c r="K175" s="53">
        <v>0</v>
      </c>
      <c r="L175" s="49">
        <v>11115023</v>
      </c>
      <c r="R175" s="21"/>
      <c r="S175" s="21"/>
    </row>
    <row r="176" spans="1:19" s="48" customFormat="1" x14ac:dyDescent="0.2">
      <c r="A176" s="49">
        <v>15</v>
      </c>
      <c r="B176" s="53"/>
      <c r="C176" s="53">
        <v>0</v>
      </c>
      <c r="D176" s="53">
        <v>0</v>
      </c>
      <c r="E176" s="53">
        <v>0</v>
      </c>
      <c r="F176" s="49">
        <v>11115023</v>
      </c>
      <c r="G176" s="49">
        <v>15</v>
      </c>
      <c r="H176" s="53"/>
      <c r="I176" s="53">
        <v>0</v>
      </c>
      <c r="J176" s="53">
        <v>0</v>
      </c>
      <c r="K176" s="53">
        <v>0</v>
      </c>
      <c r="L176" s="49">
        <v>11115023</v>
      </c>
      <c r="R176" s="21"/>
      <c r="S176" s="21"/>
    </row>
    <row r="177" spans="1:19" s="48" customFormat="1" x14ac:dyDescent="0.2">
      <c r="A177" s="49">
        <v>16</v>
      </c>
      <c r="B177" s="53"/>
      <c r="C177" s="53">
        <v>0</v>
      </c>
      <c r="D177" s="53">
        <v>0</v>
      </c>
      <c r="E177" s="53">
        <v>0</v>
      </c>
      <c r="F177" s="49">
        <v>11115023</v>
      </c>
      <c r="G177" s="49">
        <v>16</v>
      </c>
      <c r="H177" s="53"/>
      <c r="I177" s="53">
        <v>0</v>
      </c>
      <c r="J177" s="53">
        <v>0</v>
      </c>
      <c r="K177" s="53">
        <v>0</v>
      </c>
      <c r="L177" s="49">
        <v>11115023</v>
      </c>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F8D3E203-20B2-4B6B-987B-B27378627F88}">
      <formula1>$C$112:$C$113</formula1>
    </dataValidation>
  </dataValidations>
  <hyperlinks>
    <hyperlink ref="O1:P1" location="Home_page" display="Back to home page" xr:uid="{1CD47833-99C1-44BF-A5B5-ABF6341E9369}"/>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8C97B51F-9FFD-4BDF-842D-248F6AF0E4A0}">
          <x14:colorSeries rgb="FF323232"/>
          <x14:colorNegative rgb="FFD00000"/>
          <x14:colorAxis rgb="FF000000"/>
          <x14:colorMarkers rgb="FFD00000"/>
          <x14:colorFirst rgb="FFD00000"/>
          <x14:colorLast rgb="FFD00000"/>
          <x14:colorHigh rgb="FFD00000"/>
          <x14:colorLow rgb="FFD00000"/>
          <x14:sparklines>
            <x14:sparkline>
              <xm:f>'NS beam trawl under 300kW'!D3:N3</xm:f>
              <xm:sqref>C3</xm:sqref>
            </x14:sparkline>
            <x14:sparkline>
              <xm:f>'NS beam trawl under 300kW'!D4:N4</xm:f>
              <xm:sqref>C4</xm:sqref>
            </x14:sparkline>
            <x14:sparkline>
              <xm:f>'NS beam trawl under 300kW'!D5:N5</xm:f>
              <xm:sqref>C5</xm:sqref>
            </x14:sparkline>
            <x14:sparkline>
              <xm:f>'NS beam trawl under 300kW'!D6:N6</xm:f>
              <xm:sqref>C6</xm:sqref>
            </x14:sparkline>
            <x14:sparkline>
              <xm:f>'NS beam trawl under 300kW'!D7:N7</xm:f>
              <xm:sqref>C7</xm:sqref>
            </x14:sparkline>
            <x14:sparkline>
              <xm:f>'NS beam trawl under 300kW'!D8:N8</xm:f>
              <xm:sqref>C8</xm:sqref>
            </x14:sparkline>
            <x14:sparkline>
              <xm:f>'NS beam trawl under 300kW'!D9:N9</xm:f>
              <xm:sqref>C9</xm:sqref>
            </x14:sparkline>
            <x14:sparkline>
              <xm:f>'NS beam trawl under 300kW'!D10:N10</xm:f>
              <xm:sqref>C10</xm:sqref>
            </x14:sparkline>
            <x14:sparkline>
              <xm:f>'NS beam trawl under 300kW'!D11:N11</xm:f>
              <xm:sqref>C11</xm:sqref>
            </x14:sparkline>
            <x14:sparkline>
              <xm:f>'NS beam trawl under 300kW'!D12:N12</xm:f>
              <xm:sqref>C12</xm:sqref>
            </x14:sparkline>
            <x14:sparkline>
              <xm:f>'NS beam trawl under 300kW'!D13:N13</xm:f>
              <xm:sqref>C13</xm:sqref>
            </x14:sparkline>
            <x14:sparkline>
              <xm:f>'NS beam trawl under 300kW'!D14:N14</xm:f>
              <xm:sqref>C14</xm:sqref>
            </x14:sparkline>
            <x14:sparkline>
              <xm:f>'NS beam trawl under 300kW'!D15:N15</xm:f>
              <xm:sqref>C15</xm:sqref>
            </x14:sparkline>
            <x14:sparkline>
              <xm:f>'NS beam trawl under 300kW'!D16:N16</xm:f>
              <xm:sqref>C16</xm:sqref>
            </x14:sparkline>
            <x14:sparkline>
              <xm:f>'NS beam trawl under 300kW'!D17:N17</xm:f>
              <xm:sqref>C17</xm:sqref>
            </x14:sparkline>
            <x14:sparkline>
              <xm:f>'NS beam trawl under 300kW'!D18:N18</xm:f>
              <xm:sqref>C18</xm:sqref>
            </x14:sparkline>
            <x14:sparkline>
              <xm:f>'NS beam trawl under 300kW'!D19:N19</xm:f>
              <xm:sqref>C19</xm:sqref>
            </x14:sparkline>
            <x14:sparkline>
              <xm:f>'NS beam trawl under 300kW'!D20:N20</xm:f>
              <xm:sqref>C20</xm:sqref>
            </x14:sparkline>
            <x14:sparkline>
              <xm:f>'NS beam trawl under 300kW'!D21:N21</xm:f>
              <xm:sqref>C21</xm:sqref>
            </x14:sparkline>
            <x14:sparkline>
              <xm:f>'NS beam trawl under 300kW'!D22:N22</xm:f>
              <xm:sqref>C22</xm:sqref>
            </x14:sparkline>
            <x14:sparkline>
              <xm:f>'NS beam trawl under 300kW'!D23:N23</xm:f>
              <xm:sqref>C23</xm:sqref>
            </x14:sparkline>
            <x14:sparkline>
              <xm:f>'NS beam trawl under 300kW'!D24:N24</xm:f>
              <xm:sqref>C24</xm:sqref>
            </x14:sparkline>
            <x14:sparkline>
              <xm:f>'NS beam trawl under 300kW'!D25:N25</xm:f>
              <xm:sqref>C25</xm:sqref>
            </x14:sparkline>
            <x14:sparkline>
              <xm:f>'NS beam trawl under 300kW'!D26:N26</xm:f>
              <xm:sqref>C26</xm:sqref>
            </x14:sparkline>
            <x14:sparkline>
              <xm:f>'NS beam trawl under 300kW'!D27:N27</xm:f>
              <xm:sqref>C27</xm:sqref>
            </x14:sparkline>
            <x14:sparkline>
              <xm:f>'NS beam trawl under 300kW'!D28:N28</xm:f>
              <xm:sqref>C28</xm:sqref>
            </x14:sparkline>
            <x14:sparkline>
              <xm:f>'NS beam trawl under 300kW'!D29:N29</xm:f>
              <xm:sqref>C29</xm:sqref>
            </x14:sparkline>
            <x14:sparkline>
              <xm:f>'NS beam trawl under 300kW'!D30:N30</xm:f>
              <xm:sqref>C30</xm:sqref>
            </x14:sparkline>
            <x14:sparkline>
              <xm:f>'NS beam trawl under 300kW'!D31:N31</xm:f>
              <xm:sqref>C31</xm:sqref>
            </x14:sparkline>
            <x14:sparkline>
              <xm:f>'NS beam trawl under 300kW'!D32:N32</xm:f>
              <xm:sqref>C32</xm:sqref>
            </x14:sparkline>
            <x14:sparkline>
              <xm:f>'NS beam trawl under 300kW'!D33:N33</xm:f>
              <xm:sqref>C33</xm:sqref>
            </x14:sparkline>
            <x14:sparkline>
              <xm:f>'NS beam trawl under 300kW'!D34:N34</xm:f>
              <xm:sqref>C34</xm:sqref>
            </x14:sparkline>
            <x14:sparkline>
              <xm:f>'NS beam trawl under 300kW'!D35:N35</xm:f>
              <xm:sqref>C35</xm:sqref>
            </x14:sparkline>
            <x14:sparkline>
              <xm:f>'NS beam trawl under 300kW'!D36:N36</xm:f>
              <xm:sqref>C36</xm:sqref>
            </x14:sparkline>
            <x14:sparkline>
              <xm:f>'NS beam trawl under 300kW'!D37:N37</xm:f>
              <xm:sqref>C37</xm:sqref>
            </x14:sparkline>
            <x14:sparkline>
              <xm:f>'NS beam trawl under 300kW'!D38:N38</xm:f>
              <xm:sqref>C38</xm:sqref>
            </x14:sparkline>
            <x14:sparkline>
              <xm:f>'NS beam trawl under 300kW'!D39:N39</xm:f>
              <xm:sqref>C39</xm:sqref>
            </x14:sparkline>
            <x14:sparkline>
              <xm:f>'NS beam trawl under 300kW'!D40:N40</xm:f>
              <xm:sqref>C40</xm:sqref>
            </x14:sparkline>
            <x14:sparkline>
              <xm:f>'NS beam trawl under 300kW'!D41:N41</xm:f>
              <xm:sqref>C41</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4F2A8-C7E0-4DC2-94CE-C44668460F66}">
  <sheetPr codeName="Feuil19">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291</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83</v>
      </c>
      <c r="E3" s="28">
        <v>72</v>
      </c>
      <c r="F3" s="28">
        <v>54</v>
      </c>
      <c r="G3" s="28">
        <v>59</v>
      </c>
      <c r="H3" s="28">
        <v>43</v>
      </c>
      <c r="I3" s="28">
        <v>49</v>
      </c>
      <c r="J3" s="28">
        <v>53</v>
      </c>
      <c r="K3" s="28">
        <v>40</v>
      </c>
      <c r="L3" s="28">
        <v>72</v>
      </c>
      <c r="M3" s="28">
        <v>53</v>
      </c>
      <c r="N3" s="28">
        <v>70</v>
      </c>
      <c r="O3" s="29">
        <f t="shared" ref="O3:O41" si="0">IF(N3=0,"",IFERROR(IF(AND(N3&gt;0,D3&lt;0),"na",IF(AND(N3&lt;0,D3&lt;0),-1,1)*(N3-D3)/D3),""))</f>
        <v>-0.15662650602409639</v>
      </c>
      <c r="P3" s="29">
        <f t="shared" ref="P3:P41" si="1">IF(N3=0,"",IFERROR(IF(AND(N3&gt;0,J3&lt;0),"na",IF(AND(N3&lt;0,J3&lt;0),-1,1)*(N3-J3)/J3),""))</f>
        <v>0.32075471698113206</v>
      </c>
    </row>
    <row r="4" spans="1:17" ht="18" customHeight="1" x14ac:dyDescent="0.2">
      <c r="A4" s="193"/>
      <c r="B4" s="30" t="s">
        <v>55</v>
      </c>
      <c r="C4" s="31"/>
      <c r="D4" s="31">
        <v>36008</v>
      </c>
      <c r="E4" s="31">
        <v>30452</v>
      </c>
      <c r="F4" s="31">
        <v>24104</v>
      </c>
      <c r="G4" s="31">
        <v>25767</v>
      </c>
      <c r="H4" s="31">
        <v>18206</v>
      </c>
      <c r="I4" s="31">
        <v>20924</v>
      </c>
      <c r="J4" s="31">
        <v>22706</v>
      </c>
      <c r="K4" s="31">
        <v>17034</v>
      </c>
      <c r="L4" s="31">
        <v>31206</v>
      </c>
      <c r="M4" s="31">
        <v>22846</v>
      </c>
      <c r="N4" s="31">
        <v>31372</v>
      </c>
      <c r="O4" s="29">
        <f t="shared" si="0"/>
        <v>-0.1287491668518107</v>
      </c>
      <c r="P4" s="29">
        <f t="shared" si="1"/>
        <v>0.38166123491588128</v>
      </c>
    </row>
    <row r="5" spans="1:17" ht="18" customHeight="1" x14ac:dyDescent="0.2">
      <c r="A5" s="193"/>
      <c r="B5" s="30" t="s">
        <v>56</v>
      </c>
      <c r="C5" s="31"/>
      <c r="D5" s="31">
        <v>13191</v>
      </c>
      <c r="E5" s="31">
        <v>11251</v>
      </c>
      <c r="F5" s="31">
        <v>8758</v>
      </c>
      <c r="G5" s="31">
        <v>9184</v>
      </c>
      <c r="H5" s="31">
        <v>6507</v>
      </c>
      <c r="I5" s="31">
        <v>7787</v>
      </c>
      <c r="J5" s="31">
        <v>8434</v>
      </c>
      <c r="K5" s="31">
        <v>6238</v>
      </c>
      <c r="L5" s="31">
        <v>11615</v>
      </c>
      <c r="M5" s="31">
        <v>8399</v>
      </c>
      <c r="N5" s="31">
        <v>12027</v>
      </c>
      <c r="O5" s="29">
        <f t="shared" si="0"/>
        <v>-8.8241983170343416E-2</v>
      </c>
      <c r="P5" s="29">
        <f t="shared" si="1"/>
        <v>0.42601375385345031</v>
      </c>
      <c r="Q5" s="32"/>
    </row>
    <row r="6" spans="1:17" ht="18" customHeight="1" x14ac:dyDescent="0.2">
      <c r="A6" s="193"/>
      <c r="B6" s="30" t="s">
        <v>57</v>
      </c>
      <c r="C6" s="31"/>
      <c r="D6" s="31">
        <v>28155.552734375</v>
      </c>
      <c r="E6" s="31">
        <v>24041.41015625</v>
      </c>
      <c r="F6" s="31">
        <v>18541.1484375</v>
      </c>
      <c r="G6" s="31">
        <v>20059.7734375</v>
      </c>
      <c r="H6" s="31">
        <v>14154.6806640625</v>
      </c>
      <c r="I6" s="31">
        <v>16407.720703125</v>
      </c>
      <c r="J6" s="31">
        <v>17701.189453125</v>
      </c>
      <c r="K6" s="31">
        <v>13238.3759765625</v>
      </c>
      <c r="L6" s="31">
        <v>23562.21484375</v>
      </c>
      <c r="M6" s="31">
        <v>16896.703125</v>
      </c>
      <c r="N6" s="31">
        <v>22296.283203125</v>
      </c>
      <c r="O6" s="29">
        <f t="shared" si="0"/>
        <v>-0.20810351643697059</v>
      </c>
      <c r="P6" s="29">
        <f t="shared" si="1"/>
        <v>0.25959237158431597</v>
      </c>
    </row>
    <row r="7" spans="1:17" ht="18" customHeight="1" x14ac:dyDescent="0.2">
      <c r="A7" s="193"/>
      <c r="B7" s="30" t="s">
        <v>58</v>
      </c>
      <c r="C7" s="31"/>
      <c r="D7" s="31">
        <v>16557.8203125</v>
      </c>
      <c r="E7" s="31">
        <v>13675.2333984375</v>
      </c>
      <c r="F7" s="31">
        <v>10469.158203125</v>
      </c>
      <c r="G7" s="31">
        <v>13238.427734375</v>
      </c>
      <c r="H7" s="31">
        <v>7437.541015625</v>
      </c>
      <c r="I7" s="31">
        <v>10976.51171875</v>
      </c>
      <c r="J7" s="31">
        <v>14495.62109375</v>
      </c>
      <c r="K7" s="31">
        <v>10367.462890625</v>
      </c>
      <c r="L7" s="31">
        <v>21508.22265625</v>
      </c>
      <c r="M7" s="31">
        <v>12171.5302734375</v>
      </c>
      <c r="N7" s="31">
        <v>19506.26171875</v>
      </c>
      <c r="O7" s="29">
        <f t="shared" si="0"/>
        <v>0.17806941678332699</v>
      </c>
      <c r="P7" s="29">
        <f t="shared" si="1"/>
        <v>0.34566581125388351</v>
      </c>
    </row>
    <row r="8" spans="1:17" ht="18" customHeight="1" x14ac:dyDescent="0.2">
      <c r="A8" s="193"/>
      <c r="B8" s="30" t="s">
        <v>59</v>
      </c>
      <c r="C8" s="33"/>
      <c r="D8" s="33">
        <f ca="1">57.754932*OFFSET(D$112,MATCH($N$1,$C$112:$C$113,0)-1,0)</f>
        <v>57.754931999999997</v>
      </c>
      <c r="E8" s="33">
        <f ca="1">42.27948*OFFSET(E$112,MATCH($N$1,$C$112:$C$113,0)-1,0)</f>
        <v>42.27948</v>
      </c>
      <c r="F8" s="33">
        <f ca="1">25.591508*OFFSET(F$112,MATCH($N$1,$C$112:$C$113,0)-1,0)</f>
        <v>25.591508000000001</v>
      </c>
      <c r="G8" s="33">
        <f ca="1">36.989792*OFFSET(G$112,MATCH($N$1,$C$112:$C$113,0)-1,0)</f>
        <v>36.989792000000001</v>
      </c>
      <c r="H8" s="33">
        <f ca="1">18.812724*OFFSET(H$112,MATCH($N$1,$C$112:$C$113,0)-1,0)</f>
        <v>18.812723999999999</v>
      </c>
      <c r="I8" s="33">
        <f ca="1">31.779862*OFFSET(I$112,MATCH($N$1,$C$112:$C$113,0)-1,0)</f>
        <v>31.779862000000001</v>
      </c>
      <c r="J8" s="33">
        <f ca="1">41.463616*OFFSET(J$112,MATCH($N$1,$C$112:$C$113,0)-1,0)</f>
        <v>41.463616000000002</v>
      </c>
      <c r="K8" s="33">
        <f ca="1">26.329632*OFFSET(K$112,MATCH($N$1,$C$112:$C$113,0)-1,0)</f>
        <v>26.329632</v>
      </c>
      <c r="L8" s="33">
        <f ca="1">56.79012*OFFSET(L$112,MATCH($N$1,$C$112:$C$113,0)-1,0)</f>
        <v>56.790120000000002</v>
      </c>
      <c r="M8" s="33">
        <f ca="1">23.399936*OFFSET(M$112,MATCH($N$1,$C$112:$C$113,0)-1,0)</f>
        <v>23.399936</v>
      </c>
      <c r="N8" s="33">
        <v>45.864716000000001</v>
      </c>
      <c r="O8" s="29">
        <f t="shared" ca="1" si="0"/>
        <v>-0.20587360400666727</v>
      </c>
      <c r="P8" s="29">
        <f t="shared" ca="1" si="1"/>
        <v>0.10614366098702051</v>
      </c>
    </row>
    <row r="9" spans="1:17" ht="18" customHeight="1" x14ac:dyDescent="0.2">
      <c r="A9" s="193"/>
      <c r="B9" s="30" t="s">
        <v>60</v>
      </c>
      <c r="C9" s="31"/>
      <c r="D9" s="31">
        <v>15262</v>
      </c>
      <c r="E9" s="31">
        <v>12619</v>
      </c>
      <c r="F9" s="31">
        <v>8839</v>
      </c>
      <c r="G9" s="31">
        <v>11039</v>
      </c>
      <c r="H9" s="31">
        <v>7242</v>
      </c>
      <c r="I9" s="31">
        <v>9861</v>
      </c>
      <c r="J9" s="31">
        <v>10780</v>
      </c>
      <c r="K9" s="31">
        <v>7815</v>
      </c>
      <c r="L9" s="31">
        <v>14746</v>
      </c>
      <c r="M9" s="31">
        <v>8845</v>
      </c>
      <c r="N9" s="31">
        <v>13532</v>
      </c>
      <c r="O9" s="29">
        <f t="shared" si="0"/>
        <v>-0.11335342681168917</v>
      </c>
      <c r="P9" s="29">
        <f t="shared" si="1"/>
        <v>0.25528756957328386</v>
      </c>
    </row>
    <row r="10" spans="1:17" ht="18" customHeight="1" x14ac:dyDescent="0.2">
      <c r="A10" s="193"/>
      <c r="B10" s="30" t="s">
        <v>61</v>
      </c>
      <c r="C10" s="31"/>
      <c r="D10" s="31">
        <v>668.56549072265625</v>
      </c>
      <c r="E10" s="31">
        <v>577.80474853515625</v>
      </c>
      <c r="F10" s="31">
        <v>305.2552490234375</v>
      </c>
      <c r="G10" s="31">
        <v>385.029296875</v>
      </c>
      <c r="H10" s="31">
        <v>196.09367370605469</v>
      </c>
      <c r="I10" s="31">
        <v>394.02825927734375</v>
      </c>
      <c r="J10" s="31">
        <v>370.76718139648438</v>
      </c>
      <c r="K10" s="31">
        <v>327.85427856445313</v>
      </c>
      <c r="L10" s="31">
        <v>355.08251953125</v>
      </c>
      <c r="M10" s="31">
        <v>353.39047241210938</v>
      </c>
      <c r="N10" s="31">
        <v>562.18719482421875</v>
      </c>
      <c r="O10" s="34">
        <f t="shared" si="0"/>
        <v>-0.15911424890245621</v>
      </c>
      <c r="P10" s="34">
        <f t="shared" si="1"/>
        <v>0.51628089818186218</v>
      </c>
    </row>
    <row r="11" spans="1:17" ht="18" customHeight="1" x14ac:dyDescent="0.2">
      <c r="A11" s="194" t="s">
        <v>27</v>
      </c>
      <c r="B11" s="35" t="s">
        <v>62</v>
      </c>
      <c r="C11" s="36"/>
      <c r="D11" s="36">
        <v>20.748434066772461</v>
      </c>
      <c r="E11" s="36">
        <v>20.570138931274414</v>
      </c>
      <c r="F11" s="36">
        <v>20.563148498535156</v>
      </c>
      <c r="G11" s="36">
        <v>20.493728637695313</v>
      </c>
      <c r="H11" s="36">
        <v>20.27790641784668</v>
      </c>
      <c r="I11" s="36">
        <v>20.62755012512207</v>
      </c>
      <c r="J11" s="36">
        <v>20.568302154541016</v>
      </c>
      <c r="K11" s="36">
        <v>20.273250579833984</v>
      </c>
      <c r="L11" s="36">
        <v>20.580694198608398</v>
      </c>
      <c r="M11" s="36">
        <v>20.139434814453125</v>
      </c>
      <c r="N11" s="36">
        <v>20.843143463134766</v>
      </c>
      <c r="O11" s="29">
        <f t="shared" si="0"/>
        <v>4.5646527375276412E-3</v>
      </c>
      <c r="P11" s="29">
        <f t="shared" si="1"/>
        <v>1.3362372184573887E-2</v>
      </c>
    </row>
    <row r="12" spans="1:17" ht="18" customHeight="1" x14ac:dyDescent="0.2">
      <c r="A12" s="195"/>
      <c r="B12" s="37" t="s">
        <v>55</v>
      </c>
      <c r="C12" s="31"/>
      <c r="D12" s="31">
        <v>433.83132934570313</v>
      </c>
      <c r="E12" s="31">
        <v>422.9444580078125</v>
      </c>
      <c r="F12" s="31">
        <v>446.370361328125</v>
      </c>
      <c r="G12" s="31">
        <v>436.72882080078125</v>
      </c>
      <c r="H12" s="31">
        <v>423.39535522460938</v>
      </c>
      <c r="I12" s="31">
        <v>427.02041625976563</v>
      </c>
      <c r="J12" s="31">
        <v>428.41510009765625</v>
      </c>
      <c r="K12" s="31">
        <v>425.85000610351563</v>
      </c>
      <c r="L12" s="31">
        <v>433.41665649414063</v>
      </c>
      <c r="M12" s="31">
        <v>431.05661010742188</v>
      </c>
      <c r="N12" s="31">
        <v>448.17141723632813</v>
      </c>
      <c r="O12" s="29">
        <f t="shared" si="0"/>
        <v>3.3054523545481308E-2</v>
      </c>
      <c r="P12" s="29">
        <f t="shared" si="1"/>
        <v>4.6114894489406345E-2</v>
      </c>
    </row>
    <row r="13" spans="1:17" ht="18" customHeight="1" x14ac:dyDescent="0.2">
      <c r="A13" s="195"/>
      <c r="B13" s="37" t="s">
        <v>56</v>
      </c>
      <c r="C13" s="31"/>
      <c r="D13" s="31">
        <v>158.92770385742188</v>
      </c>
      <c r="E13" s="31">
        <v>156.26388549804688</v>
      </c>
      <c r="F13" s="31">
        <v>162.1851806640625</v>
      </c>
      <c r="G13" s="31">
        <v>155.6610107421875</v>
      </c>
      <c r="H13" s="31">
        <v>151.32557678222656</v>
      </c>
      <c r="I13" s="31">
        <v>158.91836547851563</v>
      </c>
      <c r="J13" s="31">
        <v>159.132080078125</v>
      </c>
      <c r="K13" s="31">
        <v>155.94999694824219</v>
      </c>
      <c r="L13" s="31">
        <v>161.31944274902344</v>
      </c>
      <c r="M13" s="31">
        <v>158.47169494628906</v>
      </c>
      <c r="N13" s="31">
        <v>171.81428527832031</v>
      </c>
      <c r="O13" s="29">
        <f t="shared" si="0"/>
        <v>8.1084550447285894E-2</v>
      </c>
      <c r="P13" s="29">
        <f t="shared" si="1"/>
        <v>7.969609392379623E-2</v>
      </c>
    </row>
    <row r="14" spans="1:17" ht="18" customHeight="1" x14ac:dyDescent="0.2">
      <c r="A14" s="195"/>
      <c r="B14" s="37" t="s">
        <v>57</v>
      </c>
      <c r="C14" s="31"/>
      <c r="D14" s="31">
        <v>339.22354125976563</v>
      </c>
      <c r="E14" s="31">
        <v>333.90847778320313</v>
      </c>
      <c r="F14" s="31">
        <v>343.3546142578125</v>
      </c>
      <c r="G14" s="31">
        <v>339.99618530273438</v>
      </c>
      <c r="H14" s="31">
        <v>329.17861938476563</v>
      </c>
      <c r="I14" s="31">
        <v>334.8514404296875</v>
      </c>
      <c r="J14" s="31">
        <v>333.98471069335938</v>
      </c>
      <c r="K14" s="31">
        <v>330.95941162109375</v>
      </c>
      <c r="L14" s="31">
        <v>336.60305786132813</v>
      </c>
      <c r="M14" s="31">
        <v>331.30789184570313</v>
      </c>
      <c r="N14" s="31">
        <v>343.01974487304688</v>
      </c>
      <c r="O14" s="29">
        <f t="shared" si="0"/>
        <v>1.1190861339349821E-2</v>
      </c>
      <c r="P14" s="29">
        <f t="shared" si="1"/>
        <v>2.7052238891207253E-2</v>
      </c>
    </row>
    <row r="15" spans="1:17" ht="18" customHeight="1" x14ac:dyDescent="0.2">
      <c r="A15" s="195"/>
      <c r="B15" s="37" t="s">
        <v>58</v>
      </c>
      <c r="C15" s="33"/>
      <c r="D15" s="33">
        <v>199.49180603027344</v>
      </c>
      <c r="E15" s="33">
        <v>189.93380737304688</v>
      </c>
      <c r="F15" s="33">
        <v>193.87330627441406</v>
      </c>
      <c r="G15" s="33">
        <v>224.380126953125</v>
      </c>
      <c r="H15" s="33">
        <v>172.96607971191406</v>
      </c>
      <c r="I15" s="33">
        <v>224.01043701171875</v>
      </c>
      <c r="J15" s="33">
        <v>273.50228881835938</v>
      </c>
      <c r="K15" s="33">
        <v>259.18655395507813</v>
      </c>
      <c r="L15" s="33">
        <v>298.72531127929688</v>
      </c>
      <c r="M15" s="33">
        <v>229.65151977539063</v>
      </c>
      <c r="N15" s="33">
        <v>278.660888671875</v>
      </c>
      <c r="O15" s="29">
        <f t="shared" si="0"/>
        <v>0.39685380676531362</v>
      </c>
      <c r="P15" s="29">
        <f t="shared" si="1"/>
        <v>1.8861267581353213E-2</v>
      </c>
    </row>
    <row r="16" spans="1:17" ht="18" customHeight="1" x14ac:dyDescent="0.2">
      <c r="A16" s="195"/>
      <c r="B16" s="37" t="s">
        <v>63</v>
      </c>
      <c r="C16" s="33"/>
      <c r="D16" s="33">
        <f ca="1">695.8425625*OFFSET(D$112,MATCH($N$1,$C$112:$C$113,0)-1,0)</f>
        <v>695.84256249999999</v>
      </c>
      <c r="E16" s="33">
        <f ca="1">587.215*OFFSET(E$112,MATCH($N$1,$C$112:$C$113,0)-1,0)</f>
        <v>587.21500000000003</v>
      </c>
      <c r="F16" s="33">
        <f ca="1">473.9168125*OFFSET(F$112,MATCH($N$1,$C$112:$C$113,0)-1,0)</f>
        <v>473.91681249999999</v>
      </c>
      <c r="G16" s="33">
        <f ca="1">626.945625*OFFSET(G$112,MATCH($N$1,$C$112:$C$113,0)-1,0)</f>
        <v>626.94562499999995</v>
      </c>
      <c r="H16" s="33">
        <f ca="1">437.50521875*OFFSET(H$112,MATCH($N$1,$C$112:$C$113,0)-1,0)</f>
        <v>437.50521874999998</v>
      </c>
      <c r="I16" s="33">
        <f ca="1">648.5685625*OFFSET(I$112,MATCH($N$1,$C$112:$C$113,0)-1,0)</f>
        <v>648.56856249999998</v>
      </c>
      <c r="J16" s="33">
        <f ca="1">782.332375*OFFSET(J$112,MATCH($N$1,$C$112:$C$113,0)-1,0)</f>
        <v>782.33237499999996</v>
      </c>
      <c r="K16" s="33">
        <f ca="1">658.24075*OFFSET(K$112,MATCH($N$1,$C$112:$C$113,0)-1,0)</f>
        <v>658.24075000000005</v>
      </c>
      <c r="L16" s="33">
        <f ca="1">788.751625*OFFSET(L$112,MATCH($N$1,$C$112:$C$113,0)-1,0)</f>
        <v>788.75162499999999</v>
      </c>
      <c r="M16" s="33">
        <f ca="1">441.50825*OFFSET(M$112,MATCH($N$1,$C$112:$C$113,0)-1,0)</f>
        <v>441.50824999999998</v>
      </c>
      <c r="N16" s="33">
        <v>655.21018749999996</v>
      </c>
      <c r="O16" s="29">
        <f t="shared" ca="1" si="0"/>
        <v>-5.8393057840580173E-2</v>
      </c>
      <c r="P16" s="29">
        <f t="shared" ca="1" si="1"/>
        <v>-0.16249127808369174</v>
      </c>
    </row>
    <row r="17" spans="1:16" ht="18" customHeight="1" x14ac:dyDescent="0.2">
      <c r="A17" s="195"/>
      <c r="B17" s="37" t="s">
        <v>60</v>
      </c>
      <c r="C17" s="31"/>
      <c r="D17" s="31">
        <v>183.8795166015625</v>
      </c>
      <c r="E17" s="31">
        <v>175.26388549804688</v>
      </c>
      <c r="F17" s="31">
        <v>163.6851806640625</v>
      </c>
      <c r="G17" s="31">
        <v>187.10169982910156</v>
      </c>
      <c r="H17" s="31">
        <v>168.41860961914063</v>
      </c>
      <c r="I17" s="31">
        <v>201.24490356445313</v>
      </c>
      <c r="J17" s="31">
        <v>203.39622497558594</v>
      </c>
      <c r="K17" s="31">
        <v>195.375</v>
      </c>
      <c r="L17" s="31">
        <v>204.80555725097656</v>
      </c>
      <c r="M17" s="31">
        <v>166.88679504394531</v>
      </c>
      <c r="N17" s="31">
        <v>193.31428527832031</v>
      </c>
      <c r="O17" s="29">
        <f t="shared" si="0"/>
        <v>5.1309514246774136E-2</v>
      </c>
      <c r="P17" s="29">
        <f t="shared" si="1"/>
        <v>-4.9567978454249977E-2</v>
      </c>
    </row>
    <row r="18" spans="1:16" ht="18" customHeight="1" x14ac:dyDescent="0.2">
      <c r="A18" s="195"/>
      <c r="B18" s="37" t="s">
        <v>64</v>
      </c>
      <c r="C18" s="31"/>
      <c r="D18" s="31">
        <v>18.891565322875977</v>
      </c>
      <c r="E18" s="31">
        <v>19.652778625488281</v>
      </c>
      <c r="F18" s="31">
        <v>19.333333969116211</v>
      </c>
      <c r="G18" s="31">
        <v>20.135593414306641</v>
      </c>
      <c r="H18" s="31">
        <v>20.581396102905273</v>
      </c>
      <c r="I18" s="31">
        <v>21.612245559692383</v>
      </c>
      <c r="J18" s="31">
        <v>21.811321258544922</v>
      </c>
      <c r="K18" s="31">
        <v>21.850000381469727</v>
      </c>
      <c r="L18" s="31">
        <v>23.785715103149414</v>
      </c>
      <c r="M18" s="31">
        <v>24.117647171020508</v>
      </c>
      <c r="N18" s="31">
        <v>22.707693099975586</v>
      </c>
      <c r="O18" s="29">
        <f t="shared" si="0"/>
        <v>0.20200167174493602</v>
      </c>
      <c r="P18" s="29">
        <f t="shared" si="1"/>
        <v>4.1096631919054265E-2</v>
      </c>
    </row>
    <row r="19" spans="1:16" ht="18" customHeight="1" x14ac:dyDescent="0.2">
      <c r="A19" s="195"/>
      <c r="B19" s="37" t="s">
        <v>65</v>
      </c>
      <c r="C19" s="38"/>
      <c r="D19" s="38">
        <v>1.0849050283432007</v>
      </c>
      <c r="E19" s="38">
        <v>1.0837019681930542</v>
      </c>
      <c r="F19" s="38">
        <v>1.1844279766082764</v>
      </c>
      <c r="G19" s="38">
        <v>1.1992415189743042</v>
      </c>
      <c r="H19" s="38">
        <v>1.0270010232925415</v>
      </c>
      <c r="I19" s="38">
        <v>1.1131235361099243</v>
      </c>
      <c r="J19" s="38">
        <v>1.3446773290634155</v>
      </c>
      <c r="K19" s="38">
        <v>1.3266106843948364</v>
      </c>
      <c r="L19" s="38">
        <v>1.4585801362991333</v>
      </c>
      <c r="M19" s="38">
        <v>1.3760915994644165</v>
      </c>
      <c r="N19" s="38">
        <v>1.4414914846420288</v>
      </c>
      <c r="O19" s="29">
        <f t="shared" si="0"/>
        <v>0.32867988163294326</v>
      </c>
      <c r="P19" s="29">
        <f t="shared" si="1"/>
        <v>7.1998057441814339E-2</v>
      </c>
    </row>
    <row r="20" spans="1:16" ht="18" customHeight="1" x14ac:dyDescent="0.2">
      <c r="A20" s="196"/>
      <c r="B20" s="39" t="s">
        <v>28</v>
      </c>
      <c r="C20" s="40"/>
      <c r="D20" s="40">
        <f ca="1">3488*OFFSET(D$112,MATCH($N$1,$C$112:$C$113,0)-1,0)</f>
        <v>3488</v>
      </c>
      <c r="E20" s="40">
        <f ca="1">3092*OFFSET(E$112,MATCH($N$1,$C$112:$C$113,0)-1,0)</f>
        <v>3092</v>
      </c>
      <c r="F20" s="40">
        <f ca="1">2444*OFFSET(F$112,MATCH($N$1,$C$112:$C$113,0)-1,0)</f>
        <v>2444</v>
      </c>
      <c r="G20" s="40">
        <f ca="1">2794*OFFSET(G$112,MATCH($N$1,$C$112:$C$113,0)-1,0)</f>
        <v>2794</v>
      </c>
      <c r="H20" s="40">
        <f ca="1">2529*OFFSET(H$112,MATCH($N$1,$C$112:$C$113,0)-1,0)</f>
        <v>2529</v>
      </c>
      <c r="I20" s="40">
        <f ca="1">2895*OFFSET(I$112,MATCH($N$1,$C$112:$C$113,0)-1,0)</f>
        <v>2895</v>
      </c>
      <c r="J20" s="40">
        <f ca="1">2860*OFFSET(J$112,MATCH($N$1,$C$112:$C$113,0)-1,0)</f>
        <v>2860</v>
      </c>
      <c r="K20" s="40">
        <f ca="1">2540*OFFSET(K$112,MATCH($N$1,$C$112:$C$113,0)-1,0)</f>
        <v>2540</v>
      </c>
      <c r="L20" s="40">
        <f ca="1">2640*OFFSET(L$112,MATCH($N$1,$C$112:$C$113,0)-1,0)</f>
        <v>2640</v>
      </c>
      <c r="M20" s="40">
        <f ca="1">1923*OFFSET(M$112,MATCH($N$1,$C$112:$C$113,0)-1,0)</f>
        <v>1923</v>
      </c>
      <c r="N20" s="40">
        <v>2351</v>
      </c>
      <c r="O20" s="34">
        <f t="shared" ca="1" si="0"/>
        <v>-0.32597477064220182</v>
      </c>
      <c r="P20" s="34">
        <f t="shared" ca="1" si="1"/>
        <v>-0.17797202797202796</v>
      </c>
    </row>
    <row r="21" spans="1:16" ht="18" customHeight="1" x14ac:dyDescent="0.2">
      <c r="A21" s="197" t="s">
        <v>29</v>
      </c>
      <c r="B21" s="35" t="s">
        <v>66</v>
      </c>
      <c r="C21" s="41"/>
      <c r="D21" s="41">
        <v>2.4523713397555462</v>
      </c>
      <c r="E21" s="41">
        <v>2.5428563450425679</v>
      </c>
      <c r="F21" s="41">
        <v>2.6160266558667833</v>
      </c>
      <c r="G21" s="41">
        <v>2.7120510853008399</v>
      </c>
      <c r="H21" s="41">
        <v>2.3938808048586151</v>
      </c>
      <c r="I21" s="41">
        <v>2.571719803006042</v>
      </c>
      <c r="J21" s="41">
        <v>3.0658547201577124</v>
      </c>
      <c r="K21" s="41">
        <v>3.041431673400421</v>
      </c>
      <c r="L21" s="41">
        <v>3.2838158004743545</v>
      </c>
      <c r="M21" s="41">
        <v>3.1318263902879844</v>
      </c>
      <c r="N21" s="41">
        <v>3.1376440958504936</v>
      </c>
      <c r="O21" s="29">
        <f t="shared" si="0"/>
        <v>0.27943270457697317</v>
      </c>
      <c r="P21" s="29">
        <f t="shared" si="1"/>
        <v>2.3415778712791796E-2</v>
      </c>
    </row>
    <row r="22" spans="1:16" ht="18" customHeight="1" x14ac:dyDescent="0.2">
      <c r="A22" s="197"/>
      <c r="B22" s="37" t="s">
        <v>67</v>
      </c>
      <c r="C22" s="38"/>
      <c r="D22" s="38">
        <f ca="1">8.55405738819216*OFFSET(D$112,MATCH($N$1,$C$112:$C$113,0)-1,0)</f>
        <v>8.5540573881921596</v>
      </c>
      <c r="E22" s="38">
        <f ca="1">7.86170408157715*OFFSET(E$112,MATCH($N$1,$C$112:$C$113,0)-1,0)</f>
        <v>7.8617040815771499</v>
      </c>
      <c r="F22" s="38">
        <f ca="1">6.39478965922518*OFFSET(F$112,MATCH($N$1,$C$112:$C$113,0)-1,0)</f>
        <v>6.3947896592251796</v>
      </c>
      <c r="G22" s="38">
        <f ca="1">7.57780372885284*OFFSET(G$112,MATCH($N$1,$C$112:$C$113,0)-1,0)</f>
        <v>7.5778037288528397</v>
      </c>
      <c r="H22" s="38">
        <f ca="1">6.05514877214942*OFFSET(H$112,MATCH($N$1,$C$112:$C$113,0)-1,0)</f>
        <v>6.0551487721494199</v>
      </c>
      <c r="I22" s="38">
        <f ca="1">7.44579867812657*OFFSET(I$112,MATCH($N$1,$C$112:$C$113,0)-1,0)</f>
        <v>7.4457986781265699</v>
      </c>
      <c r="J22" s="38">
        <f ca="1">8.76964289764634*OFFSET(J$112,MATCH($N$1,$C$112:$C$113,0)-1,0)</f>
        <v>8.7696428976463405</v>
      </c>
      <c r="K22" s="38">
        <f ca="1">7.72414400061753*OFFSET(K$112,MATCH($N$1,$C$112:$C$113,0)-1,0)</f>
        <v>7.7241440006175299</v>
      </c>
      <c r="L22" s="38">
        <f ca="1">8.67055770310392*OFFSET(L$112,MATCH($N$1,$C$112:$C$113,0)-1,0)</f>
        <v>8.6705577031039205</v>
      </c>
      <c r="M22" s="38">
        <f ca="1">6.02097991875792*OFFSET(M$112,MATCH($N$1,$C$112:$C$113,0)-1,0)</f>
        <v>6.02097991875792</v>
      </c>
      <c r="N22" s="38">
        <v>7.377484462023685</v>
      </c>
      <c r="O22" s="29">
        <f t="shared" ca="1" si="0"/>
        <v>-0.13754559652505852</v>
      </c>
      <c r="P22" s="29">
        <f t="shared" ca="1" si="1"/>
        <v>-0.15874744865566795</v>
      </c>
    </row>
    <row r="23" spans="1:16" ht="18" customHeight="1" x14ac:dyDescent="0.2">
      <c r="A23" s="197"/>
      <c r="B23" s="37" t="s">
        <v>11</v>
      </c>
      <c r="C23" s="38"/>
      <c r="D23" s="38">
        <f ca="1">7.85320707110239*OFFSET(D$112,MATCH($N$1,$C$112:$C$113,0)-1,0)</f>
        <v>7.85320707110239</v>
      </c>
      <c r="E23" s="38">
        <f ca="1">7.39297401993742*OFFSET(E$112,MATCH($N$1,$C$112:$C$113,0)-1,0)</f>
        <v>7.3929740199374203</v>
      </c>
      <c r="F23" s="38">
        <f ca="1">6.12078503833889*OFFSET(F$112,MATCH($N$1,$C$112:$C$113,0)-1,0)</f>
        <v>6.12078503833889</v>
      </c>
      <c r="G23" s="38">
        <f ca="1">7.41003788191761*OFFSET(G$112,MATCH($N$1,$C$112:$C$113,0)-1,0)</f>
        <v>7.41003788191761</v>
      </c>
      <c r="H23" s="38">
        <f ca="1">5.78609931212168*OFFSET(H$112,MATCH($N$1,$C$112:$C$113,0)-1,0)</f>
        <v>5.7860993121216797</v>
      </c>
      <c r="I23" s="38">
        <f ca="1">6.86980418546911*OFFSET(I$112,MATCH($N$1,$C$112:$C$113,0)-1,0)</f>
        <v>6.8698041854691096</v>
      </c>
      <c r="J23" s="38">
        <f ca="1">7.93933541534374*OFFSET(J$112,MATCH($N$1,$C$112:$C$113,0)-1,0)</f>
        <v>7.9393354153437397</v>
      </c>
      <c r="K23" s="38">
        <f ca="1">7.94830053792723*OFFSET(K$112,MATCH($N$1,$C$112:$C$113,0)-1,0)</f>
        <v>7.9483005379272296</v>
      </c>
      <c r="L23" s="38">
        <f ca="1">7.96216429247373*OFFSET(L$112,MATCH($N$1,$C$112:$C$113,0)-1,0)</f>
        <v>7.9621642924737301</v>
      </c>
      <c r="M23" s="38">
        <f ca="1">6.59600636199965*OFFSET(M$112,MATCH($N$1,$C$112:$C$113,0)-1,0)</f>
        <v>6.5960063619996498</v>
      </c>
      <c r="N23" s="38">
        <v>7.3170937356009711</v>
      </c>
      <c r="O23" s="29">
        <f t="shared" ca="1" si="0"/>
        <v>-6.8266802421925982E-2</v>
      </c>
      <c r="P23" s="29">
        <f t="shared" ca="1" si="1"/>
        <v>-7.837452975474625E-2</v>
      </c>
    </row>
    <row r="24" spans="1:16" ht="18" customHeight="1" x14ac:dyDescent="0.2">
      <c r="A24" s="197"/>
      <c r="B24" s="37" t="s">
        <v>12</v>
      </c>
      <c r="C24" s="38"/>
      <c r="D24" s="38">
        <f ca="1">0.978164489460641*OFFSET(D$112,MATCH($N$1,$C$112:$C$113,0)-1,0)</f>
        <v>0.97816448946064105</v>
      </c>
      <c r="E24" s="38">
        <f ca="1">0.840552736845232*OFFSET(E$112,MATCH($N$1,$C$112:$C$113,0)-1,0)</f>
        <v>0.84055273684523202</v>
      </c>
      <c r="F24" s="38">
        <f ca="1">0.584536370688818*OFFSET(F$112,MATCH($N$1,$C$112:$C$113,0)-1,0)</f>
        <v>0.58453637068881803</v>
      </c>
      <c r="G24" s="38">
        <f ca="1">0.638846477336713*OFFSET(G$112,MATCH($N$1,$C$112:$C$113,0)-1,0)</f>
        <v>0.63884647733671296</v>
      </c>
      <c r="H24" s="38">
        <f ca="1">0.640379651136765*OFFSET(H$112,MATCH($N$1,$C$112:$C$113,0)-1,0)</f>
        <v>0.64037965113676498</v>
      </c>
      <c r="I24" s="38">
        <f ca="1">1.05801652256576*OFFSET(I$112,MATCH($N$1,$C$112:$C$113,0)-1,0)</f>
        <v>1.0580165225657601</v>
      </c>
      <c r="J24" s="38">
        <f ca="1">1.12860210612858*OFFSET(J$112,MATCH($N$1,$C$112:$C$113,0)-1,0)</f>
        <v>1.12860210612858</v>
      </c>
      <c r="K24" s="38">
        <f ca="1">0.0632221948314725*OFFSET(K$112,MATCH($N$1,$C$112:$C$113,0)-1,0)</f>
        <v>6.3222194831472497E-2</v>
      </c>
      <c r="L24" s="38">
        <f ca="1">1.02798095538597*OFFSET(L$112,MATCH($N$1,$C$112:$C$113,0)-1,0)</f>
        <v>1.02798095538597</v>
      </c>
      <c r="M24" s="38">
        <f ca="1">-0.00712169806903307*OFFSET(M$112,MATCH($N$1,$C$112:$C$113,0)-1,0)</f>
        <v>-7.1216980690330701E-3</v>
      </c>
      <c r="N24" s="38">
        <v>0.48452606335317683</v>
      </c>
      <c r="O24" s="29">
        <f t="shared" ca="1" si="0"/>
        <v>-0.50465788875617024</v>
      </c>
      <c r="P24" s="29">
        <f t="shared" ca="1" si="1"/>
        <v>-0.57068477834474685</v>
      </c>
    </row>
    <row r="25" spans="1:16" ht="18" customHeight="1" x14ac:dyDescent="0.2">
      <c r="A25" s="197"/>
      <c r="B25" s="37" t="s">
        <v>68</v>
      </c>
      <c r="C25" s="33"/>
      <c r="D25" s="33">
        <f ca="1">86.38*OFFSET(D$112,MATCH($N$1,$C$112:$C$113,0)-1,0)</f>
        <v>86.38</v>
      </c>
      <c r="E25" s="33">
        <f ca="1">73.17*OFFSET(E$112,MATCH($N$1,$C$112:$C$113,0)-1,0)</f>
        <v>73.17</v>
      </c>
      <c r="F25" s="33">
        <f ca="1">83.83*OFFSET(F$112,MATCH($N$1,$C$112:$C$113,0)-1,0)</f>
        <v>83.83</v>
      </c>
      <c r="G25" s="33">
        <f ca="1">96.06*OFFSET(G$112,MATCH($N$1,$C$112:$C$113,0)-1,0)</f>
        <v>96.06</v>
      </c>
      <c r="H25" s="33">
        <f ca="1">95.94*OFFSET(H$112,MATCH($N$1,$C$112:$C$113,0)-1,0)</f>
        <v>95.94</v>
      </c>
      <c r="I25" s="33">
        <f ca="1">80.66*OFFSET(I$112,MATCH($N$1,$C$112:$C$113,0)-1,0)</f>
        <v>80.66</v>
      </c>
      <c r="J25" s="33">
        <f ca="1">111.83*OFFSET(J$112,MATCH($N$1,$C$112:$C$113,0)-1,0)</f>
        <v>111.83</v>
      </c>
      <c r="K25" s="33">
        <f ca="1">80.3*OFFSET(K$112,MATCH($N$1,$C$112:$C$113,0)-1,0)</f>
        <v>80.3</v>
      </c>
      <c r="L25" s="33">
        <f ca="1">159.94*OFFSET(L$112,MATCH($N$1,$C$112:$C$113,0)-1,0)</f>
        <v>159.94</v>
      </c>
      <c r="M25" s="33">
        <f ca="1">66.21*OFFSET(M$112,MATCH($N$1,$C$112:$C$113,0)-1,0)</f>
        <v>66.209999999999994</v>
      </c>
      <c r="N25" s="33">
        <v>81.58</v>
      </c>
      <c r="O25" s="29">
        <f t="shared" ca="1" si="0"/>
        <v>-5.5568418615420209E-2</v>
      </c>
      <c r="P25" s="29">
        <f t="shared" ca="1" si="1"/>
        <v>-0.27049986586783509</v>
      </c>
    </row>
    <row r="26" spans="1:16" ht="18" customHeight="1" x14ac:dyDescent="0.2">
      <c r="A26" s="198"/>
      <c r="B26" s="37" t="s">
        <v>69</v>
      </c>
      <c r="C26" s="33"/>
      <c r="D26" s="33">
        <f ca="1">9.88*OFFSET(D$112,MATCH($N$1,$C$112:$C$113,0)-1,0)</f>
        <v>9.8800000000000008</v>
      </c>
      <c r="E26" s="33">
        <f ca="1">7.83*OFFSET(E$112,MATCH($N$1,$C$112:$C$113,0)-1,0)</f>
        <v>7.83</v>
      </c>
      <c r="F26" s="33">
        <f ca="1">7.66*OFFSET(F$112,MATCH($N$1,$C$112:$C$113,0)-1,0)</f>
        <v>7.66</v>
      </c>
      <c r="G26" s="33">
        <f ca="1">8.11*OFFSET(G$112,MATCH($N$1,$C$112:$C$113,0)-1,0)</f>
        <v>8.11</v>
      </c>
      <c r="H26" s="33">
        <f ca="1">10.15*OFFSET(H$112,MATCH($N$1,$C$112:$C$113,0)-1,0)</f>
        <v>10.15</v>
      </c>
      <c r="I26" s="33">
        <f ca="1">11.47*OFFSET(I$112,MATCH($N$1,$C$112:$C$113,0)-1,0)</f>
        <v>11.47</v>
      </c>
      <c r="J26" s="33">
        <f ca="1">14.39*OFFSET(J$112,MATCH($N$1,$C$112:$C$113,0)-1,0)</f>
        <v>14.39</v>
      </c>
      <c r="K26" s="33">
        <f ca="1">0.66*OFFSET(K$112,MATCH($N$1,$C$112:$C$113,0)-1,0)</f>
        <v>0.66</v>
      </c>
      <c r="L26" s="33">
        <f ca="1">18.96*OFFSET(L$112,MATCH($N$1,$C$112:$C$113,0)-1,0)</f>
        <v>18.96</v>
      </c>
      <c r="M26" s="33">
        <f ca="1">-0.07*OFFSET(M$112,MATCH($N$1,$C$112:$C$113,0)-1,0)</f>
        <v>-7.0000000000000007E-2</v>
      </c>
      <c r="N26" s="33">
        <v>5.35</v>
      </c>
      <c r="O26" s="34">
        <f t="shared" ca="1" si="0"/>
        <v>-0.45850202429149806</v>
      </c>
      <c r="P26" s="34">
        <f t="shared" ca="1" si="1"/>
        <v>-0.62821403752605975</v>
      </c>
    </row>
    <row r="27" spans="1:16" ht="18" customHeight="1" x14ac:dyDescent="0.2">
      <c r="A27" s="187" t="s">
        <v>30</v>
      </c>
      <c r="B27" s="35" t="s">
        <v>63</v>
      </c>
      <c r="C27" s="36"/>
      <c r="D27" s="36">
        <f ca="1">695.8*OFFSET(D$112,MATCH($N$1,$C$112:$C$113,0)-1,0)</f>
        <v>695.8</v>
      </c>
      <c r="E27" s="36">
        <f ca="1">587.2*OFFSET(E$112,MATCH($N$1,$C$112:$C$113,0)-1,0)</f>
        <v>587.20000000000005</v>
      </c>
      <c r="F27" s="36">
        <f ca="1">473.9*OFFSET(F$112,MATCH($N$1,$C$112:$C$113,0)-1,0)</f>
        <v>473.9</v>
      </c>
      <c r="G27" s="36">
        <f ca="1">626.9*OFFSET(G$112,MATCH($N$1,$C$112:$C$113,0)-1,0)</f>
        <v>626.9</v>
      </c>
      <c r="H27" s="36">
        <f ca="1">437.5*OFFSET(H$112,MATCH($N$1,$C$112:$C$113,0)-1,0)</f>
        <v>437.5</v>
      </c>
      <c r="I27" s="36">
        <f ca="1">648.6*OFFSET(I$112,MATCH($N$1,$C$112:$C$113,0)-1,0)</f>
        <v>648.6</v>
      </c>
      <c r="J27" s="36">
        <f ca="1">782.3*OFFSET(J$112,MATCH($N$1,$C$112:$C$113,0)-1,0)</f>
        <v>782.3</v>
      </c>
      <c r="K27" s="36">
        <f ca="1">658.2*OFFSET(K$112,MATCH($N$1,$C$112:$C$113,0)-1,0)</f>
        <v>658.2</v>
      </c>
      <c r="L27" s="36">
        <f ca="1">788.8*OFFSET(L$112,MATCH($N$1,$C$112:$C$113,0)-1,0)</f>
        <v>788.8</v>
      </c>
      <c r="M27" s="36">
        <f ca="1">441.5*OFFSET(M$112,MATCH($N$1,$C$112:$C$113,0)-1,0)</f>
        <v>441.5</v>
      </c>
      <c r="N27" s="36">
        <v>655.20000000000005</v>
      </c>
      <c r="O27" s="29">
        <f t="shared" ca="1" si="0"/>
        <v>-5.8350100603621606E-2</v>
      </c>
      <c r="P27" s="29">
        <f t="shared" ca="1" si="1"/>
        <v>-0.162469640802761</v>
      </c>
    </row>
    <row r="28" spans="1:16" ht="18" customHeight="1" x14ac:dyDescent="0.2">
      <c r="A28" s="199"/>
      <c r="B28" s="37" t="s">
        <v>70</v>
      </c>
      <c r="C28" s="33"/>
      <c r="D28" s="33">
        <f ca="1">22.6*OFFSET(D$112,MATCH($N$1,$C$112:$C$113,0)-1,0)</f>
        <v>22.6</v>
      </c>
      <c r="E28" s="33">
        <f ca="1">27.8*OFFSET(E$112,MATCH($N$1,$C$112:$C$113,0)-1,0)</f>
        <v>27.8</v>
      </c>
      <c r="F28" s="33">
        <f ca="1">23*OFFSET(F$112,MATCH($N$1,$C$112:$C$113,0)-1,0)</f>
        <v>23</v>
      </c>
      <c r="G28" s="33">
        <f ca="1">39*OFFSET(G$112,MATCH($N$1,$C$112:$C$113,0)-1,0)</f>
        <v>39</v>
      </c>
      <c r="H28" s="33">
        <f ca="1">26.8*OFFSET(H$112,MATCH($N$1,$C$112:$C$113,0)-1,0)</f>
        <v>26.8</v>
      </c>
      <c r="I28" s="33">
        <f ca="1">42*OFFSET(I$112,MATCH($N$1,$C$112:$C$113,0)-1,0)</f>
        <v>42</v>
      </c>
      <c r="J28" s="33">
        <f ca="1">26.6*OFFSET(J$112,MATCH($N$1,$C$112:$C$113,0)-1,0)</f>
        <v>26.6</v>
      </c>
      <c r="K28" s="33">
        <f ca="1">24.5*OFFSET(K$112,MATCH($N$1,$C$112:$C$113,0)-1,0)</f>
        <v>24.5</v>
      </c>
      <c r="L28" s="33">
        <f ca="1">29.1*OFFSET(L$112,MATCH($N$1,$C$112:$C$113,0)-1,0)</f>
        <v>29.1</v>
      </c>
      <c r="M28" s="33">
        <f ca="1">41.6*OFFSET(M$112,MATCH($N$1,$C$112:$C$113,0)-1,0)</f>
        <v>41.6</v>
      </c>
      <c r="N28" s="33">
        <v>37.700000000000003</v>
      </c>
      <c r="O28" s="29">
        <f t="shared" ca="1" si="0"/>
        <v>0.66814159292035402</v>
      </c>
      <c r="P28" s="29">
        <f t="shared" ca="1" si="1"/>
        <v>0.41729323308270677</v>
      </c>
    </row>
    <row r="29" spans="1:16" ht="18" customHeight="1" x14ac:dyDescent="0.2">
      <c r="A29" s="199"/>
      <c r="B29" s="42" t="s">
        <v>71</v>
      </c>
      <c r="C29" s="43"/>
      <c r="D29" s="43">
        <f ca="1">718.4*OFFSET(D$112,MATCH($N$1,$C$112:$C$113,0)-1,0)</f>
        <v>718.4</v>
      </c>
      <c r="E29" s="43">
        <f ca="1">615*OFFSET(E$112,MATCH($N$1,$C$112:$C$113,0)-1,0)</f>
        <v>615</v>
      </c>
      <c r="F29" s="43">
        <f ca="1">496.9*OFFSET(F$112,MATCH($N$1,$C$112:$C$113,0)-1,0)</f>
        <v>496.9</v>
      </c>
      <c r="G29" s="43">
        <f ca="1">665.9*OFFSET(G$112,MATCH($N$1,$C$112:$C$113,0)-1,0)</f>
        <v>665.9</v>
      </c>
      <c r="H29" s="43">
        <f ca="1">464.3*OFFSET(H$112,MATCH($N$1,$C$112:$C$113,0)-1,0)</f>
        <v>464.3</v>
      </c>
      <c r="I29" s="43">
        <f ca="1">690.6*OFFSET(I$112,MATCH($N$1,$C$112:$C$113,0)-1,0)</f>
        <v>690.6</v>
      </c>
      <c r="J29" s="43">
        <f ca="1">808.9*OFFSET(J$112,MATCH($N$1,$C$112:$C$113,0)-1,0)</f>
        <v>808.9</v>
      </c>
      <c r="K29" s="43">
        <f ca="1">682.7*OFFSET(K$112,MATCH($N$1,$C$112:$C$113,0)-1,0)</f>
        <v>682.7</v>
      </c>
      <c r="L29" s="43">
        <f ca="1">817.8*OFFSET(L$112,MATCH($N$1,$C$112:$C$113,0)-1,0)</f>
        <v>817.8</v>
      </c>
      <c r="M29" s="43">
        <f ca="1">483.2*OFFSET(M$112,MATCH($N$1,$C$112:$C$113,0)-1,0)</f>
        <v>483.2</v>
      </c>
      <c r="N29" s="43">
        <v>692.9</v>
      </c>
      <c r="O29" s="29">
        <f t="shared" ca="1" si="0"/>
        <v>-3.5495545657015591E-2</v>
      </c>
      <c r="P29" s="29">
        <f t="shared" ca="1" si="1"/>
        <v>-0.14340462356286315</v>
      </c>
    </row>
    <row r="30" spans="1:16" ht="18" customHeight="1" x14ac:dyDescent="0.2">
      <c r="A30" s="199"/>
      <c r="B30" s="37" t="s">
        <v>72</v>
      </c>
      <c r="C30" s="33"/>
      <c r="D30" s="33">
        <f ca="1">194.5*OFFSET(D$112,MATCH($N$1,$C$112:$C$113,0)-1,0)</f>
        <v>194.5</v>
      </c>
      <c r="E30" s="33">
        <f ca="1">187.5*OFFSET(E$112,MATCH($N$1,$C$112:$C$113,0)-1,0)</f>
        <v>187.5</v>
      </c>
      <c r="F30" s="33">
        <f ca="1">169.6*OFFSET(F$112,MATCH($N$1,$C$112:$C$113,0)-1,0)</f>
        <v>169.6</v>
      </c>
      <c r="G30" s="33">
        <f ca="1">173.8*OFFSET(G$112,MATCH($N$1,$C$112:$C$113,0)-1,0)</f>
        <v>173.8</v>
      </c>
      <c r="H30" s="33">
        <f ca="1">106.7*OFFSET(H$112,MATCH($N$1,$C$112:$C$113,0)-1,0)</f>
        <v>106.7</v>
      </c>
      <c r="I30" s="33">
        <f ca="1">123.9*OFFSET(I$112,MATCH($N$1,$C$112:$C$113,0)-1,0)</f>
        <v>123.9</v>
      </c>
      <c r="J30" s="33">
        <f ca="1">155.2*OFFSET(J$112,MATCH($N$1,$C$112:$C$113,0)-1,0)</f>
        <v>155.19999999999999</v>
      </c>
      <c r="K30" s="33">
        <f ca="1">178.2*OFFSET(K$112,MATCH($N$1,$C$112:$C$113,0)-1,0)</f>
        <v>178.2</v>
      </c>
      <c r="L30" s="33">
        <f ca="1">180.5*OFFSET(L$112,MATCH($N$1,$C$112:$C$113,0)-1,0)</f>
        <v>180.5</v>
      </c>
      <c r="M30" s="33">
        <f ca="1">104.2*OFFSET(M$112,MATCH($N$1,$C$112:$C$113,0)-1,0)</f>
        <v>104.2</v>
      </c>
      <c r="N30" s="33">
        <v>154.70000000000002</v>
      </c>
      <c r="O30" s="29">
        <f t="shared" ca="1" si="0"/>
        <v>-0.2046272493573264</v>
      </c>
      <c r="P30" s="29">
        <f t="shared" ca="1" si="1"/>
        <v>-3.2216494845358997E-3</v>
      </c>
    </row>
    <row r="31" spans="1:16" ht="18" customHeight="1" x14ac:dyDescent="0.2">
      <c r="A31" s="199"/>
      <c r="B31" s="37" t="s">
        <v>73</v>
      </c>
      <c r="C31" s="33"/>
      <c r="D31" s="33">
        <f ca="1">173.9*OFFSET(D$112,MATCH($N$1,$C$112:$C$113,0)-1,0)</f>
        <v>173.9</v>
      </c>
      <c r="E31" s="33">
        <f ca="1">137.3*OFFSET(E$112,MATCH($N$1,$C$112:$C$113,0)-1,0)</f>
        <v>137.30000000000001</v>
      </c>
      <c r="F31" s="33">
        <f ca="1">100.3*OFFSET(F$112,MATCH($N$1,$C$112:$C$113,0)-1,0)</f>
        <v>100.3</v>
      </c>
      <c r="G31" s="33">
        <f ca="1">136.2*OFFSET(G$112,MATCH($N$1,$C$112:$C$113,0)-1,0)</f>
        <v>136.19999999999999</v>
      </c>
      <c r="H31" s="33">
        <f ca="1">112.4*OFFSET(H$112,MATCH($N$1,$C$112:$C$113,0)-1,0)</f>
        <v>112.4</v>
      </c>
      <c r="I31" s="33">
        <f ca="1">159.8*OFFSET(I$112,MATCH($N$1,$C$112:$C$113,0)-1,0)</f>
        <v>159.80000000000001</v>
      </c>
      <c r="J31" s="33">
        <f ca="1">190.7*OFFSET(J$112,MATCH($N$1,$C$112:$C$113,0)-1,0)</f>
        <v>190.7</v>
      </c>
      <c r="K31" s="33">
        <f ca="1">169*OFFSET(K$112,MATCH($N$1,$C$112:$C$113,0)-1,0)</f>
        <v>169</v>
      </c>
      <c r="L31" s="33">
        <f ca="1">217.2*OFFSET(L$112,MATCH($N$1,$C$112:$C$113,0)-1,0)</f>
        <v>217.2</v>
      </c>
      <c r="M31" s="33">
        <f ca="1">131.9*OFFSET(M$112,MATCH($N$1,$C$112:$C$113,0)-1,0)</f>
        <v>131.9</v>
      </c>
      <c r="N31" s="33">
        <v>195.6</v>
      </c>
      <c r="O31" s="29">
        <f t="shared" ca="1" si="0"/>
        <v>0.12478435882691195</v>
      </c>
      <c r="P31" s="29">
        <f t="shared" ca="1" si="1"/>
        <v>2.5694808599895154E-2</v>
      </c>
    </row>
    <row r="32" spans="1:16" ht="18" customHeight="1" x14ac:dyDescent="0.2">
      <c r="A32" s="199"/>
      <c r="B32" s="37" t="s">
        <v>74</v>
      </c>
      <c r="C32" s="33"/>
      <c r="D32" s="33">
        <f ca="1">129.4*OFFSET(D$112,MATCH($N$1,$C$112:$C$113,0)-1,0)</f>
        <v>129.4</v>
      </c>
      <c r="E32" s="33">
        <f ca="1">115.3*OFFSET(E$112,MATCH($N$1,$C$112:$C$113,0)-1,0)</f>
        <v>115.3</v>
      </c>
      <c r="F32" s="33">
        <f ca="1">85.9*OFFSET(F$112,MATCH($N$1,$C$112:$C$113,0)-1,0)</f>
        <v>85.9</v>
      </c>
      <c r="G32" s="33">
        <f ca="1">130.7*OFFSET(G$112,MATCH($N$1,$C$112:$C$113,0)-1,0)</f>
        <v>130.69999999999999</v>
      </c>
      <c r="H32" s="33">
        <f ca="1">95.7*OFFSET(H$112,MATCH($N$1,$C$112:$C$113,0)-1,0)</f>
        <v>95.7</v>
      </c>
      <c r="I32" s="33">
        <f ca="1">155.5*OFFSET(I$112,MATCH($N$1,$C$112:$C$113,0)-1,0)</f>
        <v>155.5</v>
      </c>
      <c r="J32" s="33">
        <f ca="1">189.6*OFFSET(J$112,MATCH($N$1,$C$112:$C$113,0)-1,0)</f>
        <v>189.6</v>
      </c>
      <c r="K32" s="33">
        <f ca="1">156.6*OFFSET(K$112,MATCH($N$1,$C$112:$C$113,0)-1,0)</f>
        <v>156.6</v>
      </c>
      <c r="L32" s="33">
        <f ca="1">172.4*OFFSET(L$112,MATCH($N$1,$C$112:$C$113,0)-1,0)</f>
        <v>172.4</v>
      </c>
      <c r="M32" s="33">
        <f ca="1">103.2*OFFSET(M$112,MATCH($N$1,$C$112:$C$113,0)-1,0)</f>
        <v>103.2</v>
      </c>
      <c r="N32" s="33">
        <v>153.1</v>
      </c>
      <c r="O32" s="29">
        <f t="shared" ca="1" si="0"/>
        <v>0.18315301391035538</v>
      </c>
      <c r="P32" s="29">
        <f t="shared" ca="1" si="1"/>
        <v>-0.19251054852320676</v>
      </c>
    </row>
    <row r="33" spans="1:16" ht="18" customHeight="1" x14ac:dyDescent="0.2">
      <c r="A33" s="199"/>
      <c r="B33" s="37" t="s">
        <v>75</v>
      </c>
      <c r="C33" s="33"/>
      <c r="D33" s="33">
        <f ca="1">497.8*OFFSET(D$112,MATCH($N$1,$C$112:$C$113,0)-1,0)</f>
        <v>497.8</v>
      </c>
      <c r="E33" s="33">
        <f ca="1">440.1*OFFSET(E$112,MATCH($N$1,$C$112:$C$113,0)-1,0)</f>
        <v>440.1</v>
      </c>
      <c r="F33" s="33">
        <f ca="1">355.8*OFFSET(F$112,MATCH($N$1,$C$112:$C$113,0)-1,0)</f>
        <v>355.8</v>
      </c>
      <c r="G33" s="33">
        <f ca="1">440.8*OFFSET(G$112,MATCH($N$1,$C$112:$C$113,0)-1,0)</f>
        <v>440.8</v>
      </c>
      <c r="H33" s="33">
        <f ca="1">314.9*OFFSET(H$112,MATCH($N$1,$C$112:$C$113,0)-1,0)</f>
        <v>314.89999999999998</v>
      </c>
      <c r="I33" s="33">
        <f ca="1">439.3*OFFSET(I$112,MATCH($N$1,$C$112:$C$113,0)-1,0)</f>
        <v>439.3</v>
      </c>
      <c r="J33" s="33">
        <f ca="1">535.4*OFFSET(J$112,MATCH($N$1,$C$112:$C$113,0)-1,0)</f>
        <v>535.4</v>
      </c>
      <c r="K33" s="33">
        <f ca="1">503.8*OFFSET(K$112,MATCH($N$1,$C$112:$C$113,0)-1,0)</f>
        <v>503.8</v>
      </c>
      <c r="L33" s="33">
        <f ca="1">570.1*OFFSET(L$112,MATCH($N$1,$C$112:$C$113,0)-1,0)</f>
        <v>570.1</v>
      </c>
      <c r="M33" s="33">
        <f ca="1">339.2*OFFSET(M$112,MATCH($N$1,$C$112:$C$113,0)-1,0)</f>
        <v>339.2</v>
      </c>
      <c r="N33" s="33">
        <v>503.5</v>
      </c>
      <c r="O33" s="29">
        <f t="shared" ca="1" si="0"/>
        <v>1.145038167938929E-2</v>
      </c>
      <c r="P33" s="29">
        <f t="shared" ca="1" si="1"/>
        <v>-5.9581621217781058E-2</v>
      </c>
    </row>
    <row r="34" spans="1:16" ht="18" customHeight="1" x14ac:dyDescent="0.2">
      <c r="A34" s="199"/>
      <c r="B34" s="37" t="s">
        <v>76</v>
      </c>
      <c r="C34" s="33"/>
      <c r="D34" s="33">
        <f ca="1">141*OFFSET(D$112,MATCH($N$1,$C$112:$C$113,0)-1,0)</f>
        <v>141</v>
      </c>
      <c r="E34" s="33">
        <f ca="1">112.1*OFFSET(E$112,MATCH($N$1,$C$112:$C$113,0)-1,0)</f>
        <v>112.1</v>
      </c>
      <c r="F34" s="33">
        <f ca="1">97.8*OFFSET(F$112,MATCH($N$1,$C$112:$C$113,0)-1,0)</f>
        <v>97.8</v>
      </c>
      <c r="G34" s="33">
        <f ca="1">172.3*OFFSET(G$112,MATCH($N$1,$C$112:$C$113,0)-1,0)</f>
        <v>172.3</v>
      </c>
      <c r="H34" s="33">
        <f ca="1">103.2*OFFSET(H$112,MATCH($N$1,$C$112:$C$113,0)-1,0)</f>
        <v>103.2</v>
      </c>
      <c r="I34" s="33">
        <f ca="1">159.1*OFFSET(I$112,MATCH($N$1,$C$112:$C$113,0)-1,0)</f>
        <v>159.1</v>
      </c>
      <c r="J34" s="33">
        <f ca="1">172.8*OFFSET(J$112,MATCH($N$1,$C$112:$C$113,0)-1,0)</f>
        <v>172.8</v>
      </c>
      <c r="K34" s="33">
        <f ca="1">173.6*OFFSET(K$112,MATCH($N$1,$C$112:$C$113,0)-1,0)</f>
        <v>173.6</v>
      </c>
      <c r="L34" s="33">
        <f ca="1">154.2*OFFSET(L$112,MATCH($N$1,$C$112:$C$113,0)-1,0)</f>
        <v>154.19999999999999</v>
      </c>
      <c r="M34" s="33">
        <f ca="1">144.4*OFFSET(M$112,MATCH($N$1,$C$112:$C$113,0)-1,0)</f>
        <v>144.4</v>
      </c>
      <c r="N34" s="33">
        <v>146.4</v>
      </c>
      <c r="O34" s="29">
        <f t="shared" ca="1" si="0"/>
        <v>3.8297872340425573E-2</v>
      </c>
      <c r="P34" s="29">
        <f t="shared" ca="1" si="1"/>
        <v>-0.15277777777777779</v>
      </c>
    </row>
    <row r="35" spans="1:16" ht="18" customHeight="1" x14ac:dyDescent="0.2">
      <c r="A35" s="199"/>
      <c r="B35" s="37" t="s">
        <v>77</v>
      </c>
      <c r="C35" s="33"/>
      <c r="D35" s="33">
        <f ca="1">638.8*OFFSET(D$112,MATCH($N$1,$C$112:$C$113,0)-1,0)</f>
        <v>638.79999999999995</v>
      </c>
      <c r="E35" s="33">
        <f ca="1">552.2*OFFSET(E$112,MATCH($N$1,$C$112:$C$113,0)-1,0)</f>
        <v>552.20000000000005</v>
      </c>
      <c r="F35" s="33">
        <f ca="1">453.6*OFFSET(F$112,MATCH($N$1,$C$112:$C$113,0)-1,0)</f>
        <v>453.6</v>
      </c>
      <c r="G35" s="33">
        <f ca="1">613.1*OFFSET(G$112,MATCH($N$1,$C$112:$C$113,0)-1,0)</f>
        <v>613.1</v>
      </c>
      <c r="H35" s="33">
        <f ca="1">418.1*OFFSET(H$112,MATCH($N$1,$C$112:$C$113,0)-1,0)</f>
        <v>418.1</v>
      </c>
      <c r="I35" s="33">
        <f ca="1">598.4*OFFSET(I$112,MATCH($N$1,$C$112:$C$113,0)-1,0)</f>
        <v>598.4</v>
      </c>
      <c r="J35" s="33">
        <f ca="1">708.3*OFFSET(J$112,MATCH($N$1,$C$112:$C$113,0)-1,0)</f>
        <v>708.3</v>
      </c>
      <c r="K35" s="33">
        <f ca="1">677.3*OFFSET(K$112,MATCH($N$1,$C$112:$C$113,0)-1,0)</f>
        <v>677.3</v>
      </c>
      <c r="L35" s="33">
        <f ca="1">724.3*OFFSET(L$112,MATCH($N$1,$C$112:$C$113,0)-1,0)</f>
        <v>724.3</v>
      </c>
      <c r="M35" s="33">
        <f ca="1">483.7*OFFSET(M$112,MATCH($N$1,$C$112:$C$113,0)-1,0)</f>
        <v>483.7</v>
      </c>
      <c r="N35" s="33">
        <v>649.80000000000007</v>
      </c>
      <c r="O35" s="29">
        <f t="shared" ca="1" si="0"/>
        <v>1.7219787100814204E-2</v>
      </c>
      <c r="P35" s="29">
        <f t="shared" ca="1" si="1"/>
        <v>-8.2592121982210775E-2</v>
      </c>
    </row>
    <row r="36" spans="1:16" ht="18" customHeight="1" x14ac:dyDescent="0.2">
      <c r="A36" s="199"/>
      <c r="B36" s="42" t="s">
        <v>78</v>
      </c>
      <c r="C36" s="43"/>
      <c r="D36" s="43">
        <f ca="1">253.5*OFFSET(D$112,MATCH($N$1,$C$112:$C$113,0)-1,0)</f>
        <v>253.5</v>
      </c>
      <c r="E36" s="43">
        <f ca="1">200.1*OFFSET(E$112,MATCH($N$1,$C$112:$C$113,0)-1,0)</f>
        <v>200.1</v>
      </c>
      <c r="F36" s="43">
        <f ca="1">143.6*OFFSET(F$112,MATCH($N$1,$C$112:$C$113,0)-1,0)</f>
        <v>143.6</v>
      </c>
      <c r="G36" s="43">
        <f ca="1">189.1*OFFSET(G$112,MATCH($N$1,$C$112:$C$113,0)-1,0)</f>
        <v>189.1</v>
      </c>
      <c r="H36" s="43">
        <f ca="1">158.7*OFFSET(H$112,MATCH($N$1,$C$112:$C$113,0)-1,0)</f>
        <v>158.69999999999999</v>
      </c>
      <c r="I36" s="43">
        <f ca="1">252*OFFSET(I$112,MATCH($N$1,$C$112:$C$113,0)-1,0)</f>
        <v>252</v>
      </c>
      <c r="J36" s="43">
        <f ca="1">291.4*OFFSET(J$112,MATCH($N$1,$C$112:$C$113,0)-1,0)</f>
        <v>291.39999999999998</v>
      </c>
      <c r="K36" s="43">
        <f ca="1">174.4*OFFSET(K$112,MATCH($N$1,$C$112:$C$113,0)-1,0)</f>
        <v>174.4</v>
      </c>
      <c r="L36" s="43">
        <f ca="1">310.7*OFFSET(L$112,MATCH($N$1,$C$112:$C$113,0)-1,0)</f>
        <v>310.7</v>
      </c>
      <c r="M36" s="43">
        <f ca="1">131.4*OFFSET(M$112,MATCH($N$1,$C$112:$C$113,0)-1,0)</f>
        <v>131.4</v>
      </c>
      <c r="N36" s="43">
        <v>238.6</v>
      </c>
      <c r="O36" s="29">
        <f t="shared" ca="1" si="0"/>
        <v>-5.8777120315581875E-2</v>
      </c>
      <c r="P36" s="29">
        <f t="shared" ca="1" si="1"/>
        <v>-0.18119423472889495</v>
      </c>
    </row>
    <row r="37" spans="1:16" ht="18" customHeight="1" x14ac:dyDescent="0.2">
      <c r="A37" s="199"/>
      <c r="B37" s="42" t="s">
        <v>79</v>
      </c>
      <c r="C37" s="43"/>
      <c r="D37" s="43">
        <f ca="1">79.6*OFFSET(D$112,MATCH($N$1,$C$112:$C$113,0)-1,0)</f>
        <v>79.599999999999994</v>
      </c>
      <c r="E37" s="43">
        <f ca="1">62.8*OFFSET(E$112,MATCH($N$1,$C$112:$C$113,0)-1,0)</f>
        <v>62.8</v>
      </c>
      <c r="F37" s="43">
        <f ca="1">43.3*OFFSET(F$112,MATCH($N$1,$C$112:$C$113,0)-1,0)</f>
        <v>43.3</v>
      </c>
      <c r="G37" s="43">
        <f ca="1">52.9*OFFSET(G$112,MATCH($N$1,$C$112:$C$113,0)-1,0)</f>
        <v>52.9</v>
      </c>
      <c r="H37" s="43">
        <f ca="1">46.3*OFFSET(H$112,MATCH($N$1,$C$112:$C$113,0)-1,0)</f>
        <v>46.3</v>
      </c>
      <c r="I37" s="43">
        <f ca="1">92.2*OFFSET(I$112,MATCH($N$1,$C$112:$C$113,0)-1,0)</f>
        <v>92.2</v>
      </c>
      <c r="J37" s="43">
        <f ca="1">100.7*OFFSET(J$112,MATCH($N$1,$C$112:$C$113,0)-1,0)</f>
        <v>100.7</v>
      </c>
      <c r="K37" s="43">
        <f ca="1">5.4*OFFSET(K$112,MATCH($N$1,$C$112:$C$113,0)-1,0)</f>
        <v>5.4</v>
      </c>
      <c r="L37" s="43">
        <f ca="1">93.5*OFFSET(L$112,MATCH($N$1,$C$112:$C$113,0)-1,0)</f>
        <v>93.5</v>
      </c>
      <c r="M37" s="43">
        <f ca="1">-0.5*OFFSET(M$112,MATCH($N$1,$C$112:$C$113,0)-1,0)</f>
        <v>-0.5</v>
      </c>
      <c r="N37" s="43">
        <v>43</v>
      </c>
      <c r="O37" s="29">
        <f t="shared" ca="1" si="0"/>
        <v>-0.45979899497487431</v>
      </c>
      <c r="P37" s="29">
        <f t="shared" ca="1" si="1"/>
        <v>-0.57298907646474684</v>
      </c>
    </row>
    <row r="38" spans="1:16" ht="18" customHeight="1" x14ac:dyDescent="0.2">
      <c r="A38" s="199"/>
      <c r="B38" s="37" t="s">
        <v>80</v>
      </c>
      <c r="C38" s="33"/>
      <c r="D38" s="33">
        <f ca="1">48.7*OFFSET(D$112,MATCH($N$1,$C$112:$C$113,0)-1,0)</f>
        <v>48.7</v>
      </c>
      <c r="E38" s="33">
        <f ca="1">37.7*OFFSET(E$112,MATCH($N$1,$C$112:$C$113,0)-1,0)</f>
        <v>37.700000000000003</v>
      </c>
      <c r="F38" s="33">
        <f ca="1">37.8*OFFSET(F$112,MATCH($N$1,$C$112:$C$113,0)-1,0)</f>
        <v>37.799999999999997</v>
      </c>
      <c r="G38" s="33">
        <f ca="1">35.2*OFFSET(G$112,MATCH($N$1,$C$112:$C$113,0)-1,0)</f>
        <v>35.200000000000003</v>
      </c>
      <c r="H38" s="33">
        <f ca="1">36.4*OFFSET(H$112,MATCH($N$1,$C$112:$C$113,0)-1,0)</f>
        <v>36.4</v>
      </c>
      <c r="I38" s="33">
        <f ca="1">40.7*OFFSET(I$112,MATCH($N$1,$C$112:$C$113,0)-1,0)</f>
        <v>40.700000000000003</v>
      </c>
      <c r="J38" s="33">
        <f ca="1">50.4*OFFSET(J$112,MATCH($N$1,$C$112:$C$113,0)-1,0)</f>
        <v>50.4</v>
      </c>
      <c r="K38" s="33">
        <f ca="1">43.3*OFFSET(K$112,MATCH($N$1,$C$112:$C$113,0)-1,0)</f>
        <v>43.3</v>
      </c>
      <c r="L38" s="33">
        <f ca="1">48.2*OFFSET(L$112,MATCH($N$1,$C$112:$C$113,0)-1,0)</f>
        <v>48.2</v>
      </c>
      <c r="M38" s="33">
        <f ca="1">26*OFFSET(M$112,MATCH($N$1,$C$112:$C$113,0)-1,0)</f>
        <v>26</v>
      </c>
      <c r="N38" s="33"/>
      <c r="O38" s="29" t="str">
        <f t="shared" si="0"/>
        <v/>
      </c>
      <c r="P38" s="29" t="str">
        <f t="shared" si="1"/>
        <v/>
      </c>
    </row>
    <row r="39" spans="1:16" ht="18" customHeight="1" x14ac:dyDescent="0.2">
      <c r="A39" s="199"/>
      <c r="B39" s="37" t="s">
        <v>81</v>
      </c>
      <c r="C39" s="33"/>
      <c r="D39" s="33">
        <f ca="1">15.9*OFFSET(D$112,MATCH($N$1,$C$112:$C$113,0)-1,0)</f>
        <v>15.9</v>
      </c>
      <c r="E39" s="33">
        <f ca="1">11.7*OFFSET(E$112,MATCH($N$1,$C$112:$C$113,0)-1,0)</f>
        <v>11.7</v>
      </c>
      <c r="F39" s="33">
        <f ca="1">7.6*OFFSET(F$112,MATCH($N$1,$C$112:$C$113,0)-1,0)</f>
        <v>7.6</v>
      </c>
      <c r="G39" s="33">
        <f ca="1">6.3*OFFSET(G$112,MATCH($N$1,$C$112:$C$113,0)-1,0)</f>
        <v>6.3</v>
      </c>
      <c r="H39" s="33">
        <f ca="1">4.8*OFFSET(H$112,MATCH($N$1,$C$112:$C$113,0)-1,0)</f>
        <v>4.8</v>
      </c>
      <c r="I39" s="33">
        <f ca="1">5*OFFSET(I$112,MATCH($N$1,$C$112:$C$113,0)-1,0)</f>
        <v>5</v>
      </c>
      <c r="J39" s="33">
        <f ca="1">4.3*OFFSET(J$112,MATCH($N$1,$C$112:$C$113,0)-1,0)</f>
        <v>4.3</v>
      </c>
      <c r="K39" s="33">
        <f ca="1">3.7*OFFSET(K$112,MATCH($N$1,$C$112:$C$113,0)-1,0)</f>
        <v>3.7</v>
      </c>
      <c r="L39" s="33">
        <f ca="1">5.9*OFFSET(L$112,MATCH($N$1,$C$112:$C$113,0)-1,0)</f>
        <v>5.9</v>
      </c>
      <c r="M39" s="33">
        <f ca="1">4.4*OFFSET(M$112,MATCH($N$1,$C$112:$C$113,0)-1,0)</f>
        <v>4.4000000000000004</v>
      </c>
      <c r="N39" s="33"/>
      <c r="O39" s="29" t="str">
        <f t="shared" si="0"/>
        <v/>
      </c>
      <c r="P39" s="29" t="str">
        <f t="shared" si="1"/>
        <v/>
      </c>
    </row>
    <row r="40" spans="1:16" ht="18" customHeight="1" x14ac:dyDescent="0.2">
      <c r="A40" s="199"/>
      <c r="B40" s="37" t="s">
        <v>82</v>
      </c>
      <c r="C40" s="33"/>
      <c r="D40" s="33">
        <f ca="1">1.1*OFFSET(D$112,MATCH($N$1,$C$112:$C$113,0)-1,0)</f>
        <v>1.1000000000000001</v>
      </c>
      <c r="E40" s="33">
        <f ca="1">0.6*OFFSET(E$112,MATCH($N$1,$C$112:$C$113,0)-1,0)</f>
        <v>0.6</v>
      </c>
      <c r="F40" s="33">
        <f ca="1">5.4*OFFSET(F$112,MATCH($N$1,$C$112:$C$113,0)-1,0)</f>
        <v>5.4</v>
      </c>
      <c r="G40" s="33">
        <f ca="1">2.6*OFFSET(G$112,MATCH($N$1,$C$112:$C$113,0)-1,0)</f>
        <v>2.6</v>
      </c>
      <c r="H40" s="33">
        <f ca="1">2.6*OFFSET(H$112,MATCH($N$1,$C$112:$C$113,0)-1,0)</f>
        <v>2.6</v>
      </c>
      <c r="I40" s="33">
        <f ca="1">2.9*OFFSET(I$112,MATCH($N$1,$C$112:$C$113,0)-1,0)</f>
        <v>2.9</v>
      </c>
      <c r="J40" s="33">
        <f ca="1">2.5*OFFSET(J$112,MATCH($N$1,$C$112:$C$113,0)-1,0)</f>
        <v>2.5</v>
      </c>
      <c r="K40" s="33">
        <f ca="1">2.1*OFFSET(K$112,MATCH($N$1,$C$112:$C$113,0)-1,0)</f>
        <v>2.1</v>
      </c>
      <c r="L40" s="33">
        <f ca="1">2.4*OFFSET(L$112,MATCH($N$1,$C$112:$C$113,0)-1,0)</f>
        <v>2.4</v>
      </c>
      <c r="M40" s="33">
        <f ca="1">1.4*OFFSET(M$112,MATCH($N$1,$C$112:$C$113,0)-1,0)</f>
        <v>1.4</v>
      </c>
      <c r="N40" s="33"/>
      <c r="O40" s="29" t="str">
        <f t="shared" si="0"/>
        <v/>
      </c>
      <c r="P40" s="29" t="str">
        <f t="shared" si="1"/>
        <v/>
      </c>
    </row>
    <row r="41" spans="1:16" ht="18" customHeight="1" thickBot="1" x14ac:dyDescent="0.25">
      <c r="A41" s="200"/>
      <c r="B41" s="44" t="s">
        <v>83</v>
      </c>
      <c r="C41" s="45"/>
      <c r="D41" s="45">
        <f ca="1">13.8*OFFSET(D$112,MATCH($N$1,$C$112:$C$113,0)-1,0)</f>
        <v>13.8</v>
      </c>
      <c r="E41" s="45">
        <f ca="1">12.7*OFFSET(E$112,MATCH($N$1,$C$112:$C$113,0)-1,0)</f>
        <v>12.7</v>
      </c>
      <c r="F41" s="45">
        <f ca="1">-7.4*OFFSET(F$112,MATCH($N$1,$C$112:$C$113,0)-1,0)</f>
        <v>-7.4</v>
      </c>
      <c r="G41" s="45">
        <f ca="1">8.8*OFFSET(G$112,MATCH($N$1,$C$112:$C$113,0)-1,0)</f>
        <v>8.8000000000000007</v>
      </c>
      <c r="H41" s="45">
        <f ca="1">2.5*OFFSET(H$112,MATCH($N$1,$C$112:$C$113,0)-1,0)</f>
        <v>2.5</v>
      </c>
      <c r="I41" s="45">
        <f ca="1">43.5*OFFSET(I$112,MATCH($N$1,$C$112:$C$113,0)-1,0)</f>
        <v>43.5</v>
      </c>
      <c r="J41" s="45">
        <f ca="1">43.4*OFFSET(J$112,MATCH($N$1,$C$112:$C$113,0)-1,0)</f>
        <v>43.4</v>
      </c>
      <c r="K41" s="45">
        <f ca="1">-43.7*OFFSET(K$112,MATCH($N$1,$C$112:$C$113,0)-1,0)</f>
        <v>-43.7</v>
      </c>
      <c r="L41" s="45">
        <f ca="1">37.1*OFFSET(L$112,MATCH($N$1,$C$112:$C$113,0)-1,0)</f>
        <v>37.1</v>
      </c>
      <c r="M41" s="45">
        <f ca="1">-48.6*OFFSET(M$112,MATCH($N$1,$C$112:$C$113,0)-1,0)</f>
        <v>-48.6</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130</v>
      </c>
      <c r="F46" s="94" t="s">
        <v>130</v>
      </c>
      <c r="G46" s="94" t="s">
        <v>130</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North Sea nephrops over 300kW</v>
      </c>
      <c r="C48" s="96"/>
      <c r="D48" s="96"/>
      <c r="E48" s="96"/>
      <c r="F48" s="96"/>
      <c r="G48" s="96"/>
      <c r="K48" s="96" t="str">
        <f>$B24&amp;CHAR(10)&amp;$A$1</f>
        <v>Operating profit per kW day at sea (£)
North Sea nephrops over 300kW</v>
      </c>
    </row>
    <row r="49" spans="1:11" s="82" customFormat="1" x14ac:dyDescent="0.2">
      <c r="A49" s="96" t="str">
        <f>$B22&amp;CHAR(10)&amp;$A$1</f>
        <v>Fishing income per kW day at sea (£)
North Sea nephrops over 300kW</v>
      </c>
    </row>
    <row r="50" spans="1:11" s="82" customFormat="1" x14ac:dyDescent="0.2">
      <c r="A50" s="96" t="str">
        <f>$B20&amp;CHAR(10)&amp;$A$1</f>
        <v>Average price per tonne landed (£)
North Sea nephrops over 300kW</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North Sea nephrops over 300kW</v>
      </c>
      <c r="F62" s="96" t="str">
        <f>$B20&amp;CHAR(10)&amp;$A$1</f>
        <v>Average price per tonne landed (£)
North Sea nephrops over 300kW</v>
      </c>
      <c r="K62" s="96" t="str">
        <f>"Average annual operating profit per vessel (£'000)"&amp;CHAR(10)&amp;$A$1</f>
        <v>Average annual operating profit per vessel (£'000)
North Sea nephrops over 300kW</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North Sea nephrops over 300kW</v>
      </c>
      <c r="F76" s="96" t="str">
        <f>"Top 5 landed species by value in "&amp;A77&amp;CHAR(10)&amp;A1</f>
        <v>Top 5 landed species by value in 2020
North Sea nephrops over 300kW</v>
      </c>
    </row>
    <row r="77" spans="1:11" s="96" customFormat="1" x14ac:dyDescent="0.2">
      <c r="A77" s="96">
        <v>2020</v>
      </c>
      <c r="B77" s="96" t="s">
        <v>292</v>
      </c>
      <c r="C77" s="97">
        <v>0.50847990158899714</v>
      </c>
      <c r="D77" s="98">
        <v>12153634</v>
      </c>
      <c r="G77" s="96" t="s">
        <v>293</v>
      </c>
      <c r="H77" s="97">
        <v>0.61265616798977918</v>
      </c>
      <c r="I77" s="98">
        <v>12153634</v>
      </c>
      <c r="K77" s="96" t="s">
        <v>87</v>
      </c>
    </row>
    <row r="78" spans="1:11" s="96" customFormat="1" x14ac:dyDescent="0.2">
      <c r="B78" s="96" t="s">
        <v>294</v>
      </c>
      <c r="C78" s="97">
        <v>0.10322146278693548</v>
      </c>
      <c r="D78" s="98">
        <v>553960</v>
      </c>
      <c r="G78" s="96" t="s">
        <v>295</v>
      </c>
      <c r="H78" s="97">
        <v>0.13763711210769389</v>
      </c>
      <c r="I78" s="98">
        <v>553960</v>
      </c>
    </row>
    <row r="79" spans="1:11" s="96" customFormat="1" x14ac:dyDescent="0.2">
      <c r="B79" s="96" t="s">
        <v>296</v>
      </c>
      <c r="C79" s="97">
        <v>9.6183404424082297E-2</v>
      </c>
      <c r="D79" s="98">
        <v>3050596</v>
      </c>
      <c r="G79" s="96" t="s">
        <v>297</v>
      </c>
      <c r="H79" s="97">
        <v>4.850520173616172E-2</v>
      </c>
      <c r="I79" s="98">
        <v>3050596</v>
      </c>
    </row>
    <row r="80" spans="1:11" s="96" customFormat="1" x14ac:dyDescent="0.2">
      <c r="B80" s="96" t="s">
        <v>298</v>
      </c>
      <c r="C80" s="97">
        <v>8.291355752453515E-2</v>
      </c>
      <c r="D80" s="98">
        <v>1692097</v>
      </c>
      <c r="G80" s="96" t="s">
        <v>299</v>
      </c>
      <c r="H80" s="97">
        <v>4.1965573606215445E-2</v>
      </c>
      <c r="I80" s="98">
        <v>1692097</v>
      </c>
    </row>
    <row r="81" spans="1:19" s="96" customFormat="1" x14ac:dyDescent="0.2">
      <c r="B81" s="96" t="s">
        <v>300</v>
      </c>
      <c r="C81" s="97">
        <v>3.2520973796834905E-2</v>
      </c>
      <c r="D81" s="98">
        <v>11115023</v>
      </c>
      <c r="G81" s="96" t="s">
        <v>301</v>
      </c>
      <c r="H81" s="97">
        <v>3.0787305177075355E-2</v>
      </c>
      <c r="I81" s="98">
        <v>3689192</v>
      </c>
    </row>
    <row r="82" spans="1:19" s="96" customFormat="1" x14ac:dyDescent="0.2">
      <c r="B82" s="96" t="s">
        <v>302</v>
      </c>
      <c r="C82" s="97">
        <v>0.17668069987861501</v>
      </c>
      <c r="D82" s="98">
        <v>5920853</v>
      </c>
      <c r="G82" s="96" t="s">
        <v>303</v>
      </c>
      <c r="H82" s="97">
        <v>0.12844863938307438</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102</v>
      </c>
      <c r="D92" s="102">
        <v>0.75650561904100289</v>
      </c>
      <c r="E92" s="102">
        <v>0.66110998795345299</v>
      </c>
      <c r="F92" s="102">
        <v>0.699040083080818</v>
      </c>
      <c r="G92" s="102">
        <v>0.65963545836531601</v>
      </c>
      <c r="H92" s="102">
        <v>0.64570674647899595</v>
      </c>
      <c r="I92" s="102">
        <v>0.61109432221351034</v>
      </c>
      <c r="J92" s="102">
        <v>0.56467476951052531</v>
      </c>
      <c r="K92" s="102">
        <v>0.69917929250746758</v>
      </c>
      <c r="L92" s="102">
        <v>0.61265616798977918</v>
      </c>
      <c r="M92" s="102">
        <v>0.65350732794246458</v>
      </c>
      <c r="O92" s="96">
        <v>12153634</v>
      </c>
    </row>
    <row r="93" spans="1:19" s="96" customFormat="1" hidden="1" x14ac:dyDescent="0.2">
      <c r="B93" s="96">
        <v>2</v>
      </c>
      <c r="C93" s="96" t="s">
        <v>143</v>
      </c>
      <c r="D93" s="102">
        <v>6.4484585322710133E-2</v>
      </c>
      <c r="E93" s="102">
        <v>9.904566943708186E-2</v>
      </c>
      <c r="F93" s="102">
        <v>8.6099776886047627E-2</v>
      </c>
      <c r="G93" s="102">
        <v>0.12486852779745958</v>
      </c>
      <c r="H93" s="102">
        <v>0.14433265563418274</v>
      </c>
      <c r="I93" s="102">
        <v>0.142959733627915</v>
      </c>
      <c r="J93" s="102">
        <v>0.15272778925733752</v>
      </c>
      <c r="K93" s="102">
        <v>9.6892934369682007E-2</v>
      </c>
      <c r="L93" s="102">
        <v>0.13763711210769389</v>
      </c>
      <c r="M93" s="102">
        <v>0.15646477566763958</v>
      </c>
      <c r="O93" s="96">
        <v>553960</v>
      </c>
    </row>
    <row r="94" spans="1:19" s="96" customFormat="1" hidden="1" x14ac:dyDescent="0.2">
      <c r="B94" s="96">
        <v>3</v>
      </c>
      <c r="C94" s="96" t="s">
        <v>20</v>
      </c>
      <c r="D94" s="102">
        <v>5.228650044143425E-2</v>
      </c>
      <c r="E94" s="102">
        <v>7.4661822072936104E-2</v>
      </c>
      <c r="F94" s="102">
        <v>7.7717117100067803E-2</v>
      </c>
      <c r="G94" s="102">
        <v>6.116708873072333E-2</v>
      </c>
      <c r="H94" s="102">
        <v>4.4973109093561982E-2</v>
      </c>
      <c r="I94" s="102">
        <v>4.1548520531305123E-2</v>
      </c>
      <c r="J94" s="102">
        <v>5.1729041694231086E-2</v>
      </c>
      <c r="K94" s="102">
        <v>4.4105779920083729E-2</v>
      </c>
      <c r="L94" s="102">
        <v>4.850520173616172E-2</v>
      </c>
      <c r="M94" s="102">
        <v>3.4007825318268625E-2</v>
      </c>
      <c r="O94" s="96">
        <v>3050596</v>
      </c>
    </row>
    <row r="95" spans="1:19" s="96" customFormat="1" hidden="1" x14ac:dyDescent="0.2">
      <c r="B95" s="96">
        <v>4</v>
      </c>
      <c r="C95" s="96" t="s">
        <v>126</v>
      </c>
      <c r="D95" s="102">
        <v>3.6972651450617927E-2</v>
      </c>
      <c r="E95" s="102">
        <v>4.8746238178689963E-2</v>
      </c>
      <c r="F95" s="102">
        <v>4.0361269765523788E-2</v>
      </c>
      <c r="G95" s="102">
        <v>3.5882168270989986E-2</v>
      </c>
      <c r="H95" s="102">
        <v>3.1219764817989035E-2</v>
      </c>
      <c r="I95" s="102">
        <v>3.2310001968110263E-2</v>
      </c>
      <c r="J95" s="102">
        <v>3.4613688094612446E-2</v>
      </c>
      <c r="K95" s="102">
        <v>3.3174138715943859E-2</v>
      </c>
      <c r="L95" s="102">
        <v>4.1965573606215445E-2</v>
      </c>
      <c r="M95" s="102">
        <v>4.096688399858401E-2</v>
      </c>
      <c r="O95" s="96">
        <v>1692097</v>
      </c>
    </row>
    <row r="96" spans="1:19" s="96" customFormat="1" hidden="1" x14ac:dyDescent="0.2">
      <c r="B96" s="96">
        <v>5</v>
      </c>
      <c r="C96" s="96" t="s">
        <v>98</v>
      </c>
      <c r="D96" s="102">
        <v>1.7978609941859274E-2</v>
      </c>
      <c r="E96" s="102">
        <v>2.7754665630213147E-2</v>
      </c>
      <c r="F96" s="102">
        <v>2.2945797073296113E-2</v>
      </c>
      <c r="G96" s="102"/>
      <c r="H96" s="102">
        <v>3.1235589639025577E-2</v>
      </c>
      <c r="I96" s="102">
        <v>4.8031906268219571E-2</v>
      </c>
      <c r="J96" s="102">
        <v>4.0170552327692316E-2</v>
      </c>
      <c r="K96" s="102">
        <v>3.5161169063842888E-2</v>
      </c>
      <c r="L96" s="102">
        <v>3.0787305177075355E-2</v>
      </c>
      <c r="M96" s="102">
        <v>2.1880744339504904E-2</v>
      </c>
      <c r="O96" s="96">
        <v>3689192</v>
      </c>
    </row>
    <row r="97" spans="1:15" s="96" customFormat="1" hidden="1" x14ac:dyDescent="0.2">
      <c r="B97" s="96">
        <v>6</v>
      </c>
      <c r="C97" s="96" t="s">
        <v>145</v>
      </c>
      <c r="D97" s="102"/>
      <c r="E97" s="102"/>
      <c r="F97" s="102"/>
      <c r="G97" s="102">
        <v>2.8653189592609936E-2</v>
      </c>
      <c r="H97" s="102"/>
      <c r="I97" s="102"/>
      <c r="J97" s="102"/>
      <c r="K97" s="102"/>
      <c r="L97" s="102"/>
      <c r="M97" s="102"/>
      <c r="O97" s="96">
        <v>11115023</v>
      </c>
    </row>
    <row r="98" spans="1:15" s="96" customFormat="1" hidden="1" x14ac:dyDescent="0.2">
      <c r="B98" s="96">
        <v>7</v>
      </c>
      <c r="C98" s="96" t="s">
        <v>107</v>
      </c>
      <c r="D98" s="102">
        <v>7.1772033802375498E-2</v>
      </c>
      <c r="E98" s="102">
        <v>8.8681616727625978E-2</v>
      </c>
      <c r="F98" s="102">
        <v>7.383595609424666E-2</v>
      </c>
      <c r="G98" s="102">
        <v>8.9793567242901107E-2</v>
      </c>
      <c r="H98" s="102">
        <v>0.10253213433624467</v>
      </c>
      <c r="I98" s="102">
        <v>0.1240555153909397</v>
      </c>
      <c r="J98" s="102">
        <v>0.15608415911560133</v>
      </c>
      <c r="K98" s="102">
        <v>9.1486685422979955E-2</v>
      </c>
      <c r="L98" s="102">
        <v>0.12844863938307444</v>
      </c>
      <c r="M98" s="102">
        <v>9.3172442733538349E-2</v>
      </c>
      <c r="O98" s="96">
        <v>5920853</v>
      </c>
    </row>
    <row r="99" spans="1:15" s="96" customFormat="1" hidden="1" x14ac:dyDescent="0.2">
      <c r="B99" s="96">
        <v>8</v>
      </c>
      <c r="D99" s="102"/>
      <c r="E99" s="102"/>
      <c r="F99" s="102"/>
      <c r="G99" s="102"/>
      <c r="H99" s="102"/>
      <c r="I99" s="102"/>
      <c r="J99" s="102"/>
      <c r="K99" s="102"/>
      <c r="L99" s="102"/>
      <c r="M99" s="102"/>
      <c r="O99" s="96">
        <v>7434864</v>
      </c>
    </row>
    <row r="100" spans="1:15" s="96" customFormat="1" hidden="1" x14ac:dyDescent="0.2">
      <c r="B100" s="96">
        <v>9</v>
      </c>
      <c r="D100" s="102"/>
      <c r="E100" s="102"/>
      <c r="F100" s="102"/>
      <c r="G100" s="102"/>
      <c r="H100" s="102"/>
      <c r="I100" s="102"/>
      <c r="J100" s="102"/>
      <c r="K100" s="102"/>
      <c r="L100" s="102"/>
      <c r="M100" s="102"/>
      <c r="O100" s="96">
        <v>8497745</v>
      </c>
    </row>
    <row r="101" spans="1:15" s="96" customFormat="1" hidden="1" x14ac:dyDescent="0.2">
      <c r="B101" s="96">
        <v>10</v>
      </c>
      <c r="D101" s="102"/>
      <c r="E101" s="102"/>
      <c r="F101" s="102"/>
      <c r="G101" s="102"/>
      <c r="H101" s="102"/>
      <c r="I101" s="102"/>
      <c r="J101" s="102"/>
      <c r="K101" s="102"/>
      <c r="L101" s="102"/>
      <c r="M101" s="102"/>
      <c r="O101" s="96">
        <v>14393110</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8</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18</v>
      </c>
      <c r="D120" s="56">
        <v>36</v>
      </c>
      <c r="E120" s="56">
        <v>18</v>
      </c>
      <c r="F120" s="57">
        <v>53</v>
      </c>
    </row>
    <row r="121" spans="1:15" ht="18" customHeight="1" x14ac:dyDescent="0.2">
      <c r="A121" s="194" t="s">
        <v>27</v>
      </c>
      <c r="B121" s="35" t="s">
        <v>62</v>
      </c>
      <c r="C121" s="58">
        <v>20.547222137451172</v>
      </c>
      <c r="D121" s="58">
        <v>20.633333206176758</v>
      </c>
      <c r="E121" s="58">
        <v>20.508888244628906</v>
      </c>
      <c r="F121" s="59">
        <v>20.139434814453125</v>
      </c>
    </row>
    <row r="122" spans="1:15" ht="18" customHeight="1" x14ac:dyDescent="0.2">
      <c r="A122" s="195"/>
      <c r="B122" s="37" t="s">
        <v>55</v>
      </c>
      <c r="C122" s="60">
        <v>410.61111450195313</v>
      </c>
      <c r="D122" s="60">
        <v>450.75</v>
      </c>
      <c r="E122" s="60">
        <v>421.5555419921875</v>
      </c>
      <c r="F122" s="61">
        <v>431.05661010742188</v>
      </c>
    </row>
    <row r="123" spans="1:15" ht="18" customHeight="1" x14ac:dyDescent="0.2">
      <c r="A123" s="195"/>
      <c r="B123" s="37" t="s">
        <v>56</v>
      </c>
      <c r="C123" s="60">
        <v>170.55555725097656</v>
      </c>
      <c r="D123" s="60">
        <v>167.55555725097656</v>
      </c>
      <c r="E123" s="60">
        <v>139.61111450195313</v>
      </c>
      <c r="F123" s="61">
        <v>158.47169494628906</v>
      </c>
    </row>
    <row r="124" spans="1:15" ht="18" customHeight="1" x14ac:dyDescent="0.2">
      <c r="A124" s="195"/>
      <c r="B124" s="37" t="s">
        <v>57</v>
      </c>
      <c r="C124" s="60">
        <v>328.19522094726563</v>
      </c>
      <c r="D124" s="60">
        <v>346.00090026855469</v>
      </c>
      <c r="E124" s="60">
        <v>328.92669677734375</v>
      </c>
      <c r="F124" s="61">
        <v>331.30789184570313</v>
      </c>
    </row>
    <row r="125" spans="1:15" ht="18" customHeight="1" x14ac:dyDescent="0.2">
      <c r="A125" s="195"/>
      <c r="B125" s="37" t="s">
        <v>58</v>
      </c>
      <c r="C125" s="33">
        <v>369.96743774414063</v>
      </c>
      <c r="D125" s="33">
        <v>340.22433471679688</v>
      </c>
      <c r="E125" s="33">
        <v>144.485107421875</v>
      </c>
      <c r="F125" s="62">
        <v>229.65151977539063</v>
      </c>
    </row>
    <row r="126" spans="1:15" ht="18" customHeight="1" x14ac:dyDescent="0.2">
      <c r="A126" s="195"/>
      <c r="B126" s="37" t="s">
        <v>63</v>
      </c>
      <c r="C126" s="33">
        <f ca="1">951.525*OFFSET($L$112,MATCH($N$1,$C$112:$C$113,0)-1,0)</f>
        <v>951.52499999999998</v>
      </c>
      <c r="D126" s="33">
        <f ca="1">894.79134375*OFFSET($L$112,MATCH($N$1,$C$112:$C$113,0)-1,0)</f>
        <v>894.79134375000001</v>
      </c>
      <c r="E126" s="33">
        <f ca="1">413.89890625*OFFSET($L$112,MATCH($N$1,$C$112:$C$113,0)-1,0)</f>
        <v>413.89890624999998</v>
      </c>
      <c r="F126" s="62">
        <f ca="1">441.50825*OFFSET($L$112,MATCH($N$1,$C$112:$C$113,0)-1,0)</f>
        <v>441.50824999999998</v>
      </c>
    </row>
    <row r="127" spans="1:15" ht="18" customHeight="1" x14ac:dyDescent="0.2">
      <c r="A127" s="195"/>
      <c r="B127" s="37" t="s">
        <v>60</v>
      </c>
      <c r="C127" s="60">
        <v>211.77777099609375</v>
      </c>
      <c r="D127" s="60">
        <v>223.66666412353516</v>
      </c>
      <c r="E127" s="60">
        <v>160.11111450195313</v>
      </c>
      <c r="F127" s="61">
        <v>166.88679504394531</v>
      </c>
    </row>
    <row r="128" spans="1:15" ht="18" customHeight="1" x14ac:dyDescent="0.2">
      <c r="A128" s="195"/>
      <c r="B128" s="37" t="s">
        <v>64</v>
      </c>
      <c r="C128" s="60">
        <v>19.222221374511719</v>
      </c>
      <c r="D128" s="60">
        <v>22.347222328186035</v>
      </c>
      <c r="E128" s="60">
        <v>30.55555534362793</v>
      </c>
      <c r="F128" s="61">
        <v>24.117647171020508</v>
      </c>
    </row>
    <row r="129" spans="1:15" ht="18" customHeight="1" x14ac:dyDescent="0.2">
      <c r="A129" s="195"/>
      <c r="B129" s="37" t="s">
        <v>65</v>
      </c>
      <c r="C129" s="63">
        <v>1.7469606399536133</v>
      </c>
      <c r="D129" s="63">
        <v>1.5211222291440123</v>
      </c>
      <c r="E129" s="63">
        <v>0.90240520238876343</v>
      </c>
      <c r="F129" s="64">
        <v>1.3760915994644165</v>
      </c>
    </row>
    <row r="130" spans="1:15" ht="18" customHeight="1" x14ac:dyDescent="0.2">
      <c r="A130" s="196"/>
      <c r="B130" s="39" t="s">
        <v>28</v>
      </c>
      <c r="C130" s="40">
        <f ca="1">2571.91553343689*OFFSET($L$112,MATCH($N$1,$C$112:$C$113,0)-1,0)</f>
        <v>2571.9155334368902</v>
      </c>
      <c r="D130" s="40">
        <f ca="1">2630.00394870292*OFFSET($L$112,MATCH($N$1,$C$112:$C$113,0)-1,0)</f>
        <v>2630.0039487029198</v>
      </c>
      <c r="E130" s="40">
        <f ca="1">2864.64753105299*OFFSET($L$112,MATCH($N$1,$C$112:$C$113,0)-1,0)</f>
        <v>2864.64753105299</v>
      </c>
      <c r="F130" s="65">
        <f ca="1">1923*OFFSET($L$112,MATCH($N$1,$C$112:$C$113,0)-1,0)</f>
        <v>1923</v>
      </c>
    </row>
    <row r="131" spans="1:15" ht="18" customHeight="1" x14ac:dyDescent="0.2">
      <c r="A131" s="205" t="s">
        <v>29</v>
      </c>
      <c r="B131" s="35" t="s">
        <v>66</v>
      </c>
      <c r="C131" s="66">
        <v>4.1206922668569295</v>
      </c>
      <c r="D131" s="66">
        <v>3.3077724612068682</v>
      </c>
      <c r="E131" s="66">
        <v>2.1129439899021576</v>
      </c>
      <c r="F131" s="67">
        <v>3.1318263902879844</v>
      </c>
    </row>
    <row r="132" spans="1:15" ht="18" customHeight="1" x14ac:dyDescent="0.2">
      <c r="A132" s="206"/>
      <c r="B132" s="37" t="s">
        <v>67</v>
      </c>
      <c r="C132" s="63">
        <f ca="1">10.5980724496426*OFFSET($L$112,MATCH($N$1,$C$112:$C$113,0)-1,0)</f>
        <v>10.598072449642601</v>
      </c>
      <c r="D132" s="63">
        <f ca="1">8.69945463438484*OFFSET($L$112,MATCH($N$1,$C$112:$C$113,0)-1,0)</f>
        <v>8.6994546343848391</v>
      </c>
      <c r="E132" s="63">
        <f ca="1">6.05283978392647*OFFSET($L$112,MATCH($N$1,$C$112:$C$113,0)-1,0)</f>
        <v>6.05283978392647</v>
      </c>
      <c r="F132" s="64">
        <f ca="1">6.02097991875792*OFFSET($L$112,MATCH($N$1,$C$112:$C$113,0)-1,0)</f>
        <v>6.02097991875792</v>
      </c>
    </row>
    <row r="133" spans="1:15" ht="18" customHeight="1" x14ac:dyDescent="0.2">
      <c r="A133" s="206"/>
      <c r="B133" s="37" t="s">
        <v>11</v>
      </c>
      <c r="C133" s="63">
        <f ca="1">8.79821057807628*OFFSET($L$112,MATCH($N$1,$C$112:$C$113,0)-1,0)</f>
        <v>8.7982105780762794</v>
      </c>
      <c r="D133" s="63">
        <f ca="1">7.66768658694383*OFFSET($L$112,MATCH($N$1,$C$112:$C$113,0)-1,0)</f>
        <v>7.6676865869438302</v>
      </c>
      <c r="E133" s="63">
        <f ca="1">6.0497150411221*OFFSET($L$112,MATCH($N$1,$C$112:$C$113,0)-1,0)</f>
        <v>6.0497150411221003</v>
      </c>
      <c r="F133" s="64">
        <f ca="1">6.02810161682696*OFFSET($L$112,MATCH($N$1,$C$112:$C$113,0)-1,0)</f>
        <v>6.0281016168269597</v>
      </c>
    </row>
    <row r="134" spans="1:15" ht="18" customHeight="1" x14ac:dyDescent="0.2">
      <c r="A134" s="207"/>
      <c r="B134" s="39" t="s">
        <v>12</v>
      </c>
      <c r="C134" s="68">
        <f ca="1">1.79986187156631*OFFSET($L$112,MATCH($N$1,$C$112:$C$113,0)-1,0)</f>
        <v>1.7998618715663099</v>
      </c>
      <c r="D134" s="68">
        <f ca="1">1.03176804744101*OFFSET($L$112,MATCH($N$1,$C$112:$C$113,0)-1,0)</f>
        <v>1.03176804744101</v>
      </c>
      <c r="E134" s="68">
        <f ca="1">0.00312474280437053*OFFSET($L$112,MATCH($N$1,$C$112:$C$113,0)-1,0)</f>
        <v>3.12474280437053E-3</v>
      </c>
      <c r="F134" s="69">
        <f ca="1">-0.00712169806903307*OFFSET($L$112,MATCH($N$1,$C$112:$C$113,0)-1,0)</f>
        <v>-7.1216980690330701E-3</v>
      </c>
    </row>
    <row r="135" spans="1:15" ht="18" customHeight="1" x14ac:dyDescent="0.2">
      <c r="A135" s="208" t="s">
        <v>49</v>
      </c>
      <c r="B135" s="37" t="s">
        <v>109</v>
      </c>
      <c r="C135" s="70">
        <f ca="1">168.98771875*OFFSET($L$112,MATCH($N$1,$C$112:$C$113,0)-1,0)</f>
        <v>168.98771875</v>
      </c>
      <c r="D135" s="70">
        <f ca="1">204.750125*OFFSET($L$112,MATCH($N$1,$C$112:$C$113,0)-1,0)</f>
        <v>204.750125</v>
      </c>
      <c r="E135" s="70">
        <f ca="1">143.585515625*OFFSET($L$112,MATCH($N$1,$C$112:$C$113,0)-1,0)</f>
        <v>143.585515625</v>
      </c>
      <c r="F135" s="71">
        <f ca="1">104.206953125*OFFSET($L$112,MATCH($N$1,$C$112:$C$113,0)-1,0)</f>
        <v>104.206953125</v>
      </c>
    </row>
    <row r="136" spans="1:15" ht="18" customHeight="1" x14ac:dyDescent="0.2">
      <c r="A136" s="209"/>
      <c r="B136" s="37" t="s">
        <v>110</v>
      </c>
      <c r="C136" s="31">
        <v>324972.21404014528</v>
      </c>
      <c r="D136" s="31">
        <v>393313.87725638226</v>
      </c>
      <c r="E136" s="31">
        <v>276633.34621771425</v>
      </c>
      <c r="F136" s="72">
        <v>279337.73584905663</v>
      </c>
    </row>
    <row r="137" spans="1:15" ht="18" customHeight="1" x14ac:dyDescent="0.2">
      <c r="A137" s="209"/>
      <c r="B137" s="37" t="s">
        <v>111</v>
      </c>
      <c r="C137" s="31">
        <v>1534.496337890625</v>
      </c>
      <c r="D137" s="31">
        <v>1758.4823326159496</v>
      </c>
      <c r="E137" s="31">
        <v>1727.758544921875</v>
      </c>
      <c r="F137" s="72">
        <v>1673.815673828125</v>
      </c>
    </row>
    <row r="138" spans="1:15" ht="18" customHeight="1" x14ac:dyDescent="0.2">
      <c r="A138" s="209"/>
      <c r="B138" s="37" t="s">
        <v>112</v>
      </c>
      <c r="C138" s="31">
        <f ca="1">797.948330248112*OFFSET($L$112,MATCH($N$1,$C$112:$C$113,0)-1,0)</f>
        <v>797.94833024811203</v>
      </c>
      <c r="D138" s="31">
        <f ca="1">915.425308471149*OFFSET($L$112,MATCH($N$1,$C$112:$C$113,0)-1,0)</f>
        <v>915.42530847114904</v>
      </c>
      <c r="E138" s="31">
        <f ca="1">896.78668511953*OFFSET($L$112,MATCH($N$1,$C$112:$C$113,0)-1,0)</f>
        <v>896.78668511953003</v>
      </c>
      <c r="F138" s="72">
        <f ca="1">624.417007334582*OFFSET($L$112,MATCH($N$1,$C$112:$C$113,0)-1,0)</f>
        <v>624.41700733458197</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456.763762185112*OFFSET($L$112,MATCH($N$1,$C$112:$C$113,0)-1,0)</f>
        <v>456.763762185112</v>
      </c>
      <c r="D139" s="31">
        <f ca="1">601.809171499841*OFFSET($L$112,MATCH($N$1,$C$112:$C$113,0)-1,0)</f>
        <v>601.809171499841</v>
      </c>
      <c r="E139" s="31">
        <f ca="1">993.773809543925*OFFSET($L$112,MATCH($N$1,$C$112:$C$113,0)-1,0)</f>
        <v>993.77380954392504</v>
      </c>
      <c r="F139" s="72">
        <f ca="1">453.761217112428*OFFSET($L$112,MATCH($N$1,$C$112:$C$113,0)-1,0)</f>
        <v>453.76121711242803</v>
      </c>
      <c r="I139" s="48"/>
      <c r="K139" s="73" t="s">
        <v>114</v>
      </c>
      <c r="L139" s="74">
        <f t="shared" ref="L139:M141" ca="1" si="2">C140</f>
        <v>986.59725000000003</v>
      </c>
      <c r="M139" s="74">
        <f t="shared" ca="1" si="2"/>
        <v>927.77240625000002</v>
      </c>
      <c r="N139" s="74">
        <f ca="1">E140</f>
        <v>429.15478124999998</v>
      </c>
      <c r="O139" s="74"/>
    </row>
    <row r="140" spans="1:15" ht="18" customHeight="1" x14ac:dyDescent="0.2">
      <c r="A140" s="187" t="s">
        <v>50</v>
      </c>
      <c r="B140" s="35" t="s">
        <v>115</v>
      </c>
      <c r="C140" s="75">
        <f ca="1">986.59725*OFFSET($L$112,MATCH($N$1,$C$112:$C$113,0)-1,0)</f>
        <v>986.59725000000003</v>
      </c>
      <c r="D140" s="75">
        <f ca="1">927.77240625*OFFSET($L$112,MATCH($N$1,$C$112:$C$113,0)-1,0)</f>
        <v>927.77240625000002</v>
      </c>
      <c r="E140" s="75">
        <f ca="1">429.15478125*OFFSET($L$112,MATCH($N$1,$C$112:$C$113,0)-1,0)</f>
        <v>429.15478124999998</v>
      </c>
      <c r="F140" s="76">
        <f ca="1">483.15171875*OFFSET($L$112,MATCH($N$1,$C$112:$C$113,0)-1,0)</f>
        <v>483.15171874999999</v>
      </c>
      <c r="I140" s="48"/>
      <c r="K140" s="73" t="s">
        <v>116</v>
      </c>
      <c r="L140" s="74">
        <f t="shared" ca="1" si="2"/>
        <v>825.00049999999999</v>
      </c>
      <c r="M140" s="74">
        <f t="shared" ca="1" si="2"/>
        <v>821.64884374999997</v>
      </c>
      <c r="N140" s="74">
        <f ca="1">E141</f>
        <v>428.941125</v>
      </c>
      <c r="O140" s="74"/>
    </row>
    <row r="141" spans="1:15" ht="18" customHeight="1" x14ac:dyDescent="0.2">
      <c r="A141" s="188"/>
      <c r="B141" s="37" t="s">
        <v>117</v>
      </c>
      <c r="C141" s="31">
        <f ca="1">825.0005*OFFSET($L$112,MATCH($N$1,$C$112:$C$113,0)-1,0)</f>
        <v>825.00049999999999</v>
      </c>
      <c r="D141" s="31">
        <f ca="1">821.64884375*OFFSET($L$112,MATCH($N$1,$C$112:$C$113,0)-1,0)</f>
        <v>821.64884374999997</v>
      </c>
      <c r="E141" s="31">
        <f ca="1">428.941125*OFFSET($L$112,MATCH($N$1,$C$112:$C$113,0)-1,0)</f>
        <v>428.941125</v>
      </c>
      <c r="F141" s="72">
        <f ca="1">483.67396875*OFFSET($L$112,MATCH($N$1,$C$112:$C$113,0)-1,0)</f>
        <v>483.67396874999997</v>
      </c>
      <c r="I141" s="48"/>
      <c r="K141" s="73" t="s">
        <v>118</v>
      </c>
      <c r="L141" s="74">
        <f t="shared" ca="1" si="2"/>
        <v>161.59674999999999</v>
      </c>
      <c r="M141" s="74">
        <f t="shared" ca="1" si="2"/>
        <v>106.12356250000001</v>
      </c>
      <c r="N141" s="74">
        <f ca="1">E142</f>
        <v>0.21365624999999999</v>
      </c>
      <c r="O141" s="74"/>
    </row>
    <row r="142" spans="1:15" ht="18" customHeight="1" x14ac:dyDescent="0.2">
      <c r="A142" s="189"/>
      <c r="B142" s="39" t="s">
        <v>119</v>
      </c>
      <c r="C142" s="40">
        <f ca="1">161.59675*OFFSET($L$112,MATCH($N$1,$C$112:$C$113,0)-1,0)</f>
        <v>161.59674999999999</v>
      </c>
      <c r="D142" s="40">
        <f ca="1">106.1235625*OFFSET($L$112,MATCH($N$1,$C$112:$C$113,0)-1,0)</f>
        <v>106.12356250000001</v>
      </c>
      <c r="E142" s="40">
        <f ca="1">0.21365625*OFFSET($L$112,MATCH($N$1,$C$112:$C$113,0)-1,0)</f>
        <v>0.21365624999999999</v>
      </c>
      <c r="F142" s="65">
        <f ca="1">-0.522222045898437*OFFSET($L$112,MATCH($N$1,$C$112:$C$113,0)-1,0)</f>
        <v>-0.52222204589843702</v>
      </c>
      <c r="I142" s="48"/>
      <c r="K142" s="73" t="s">
        <v>120</v>
      </c>
      <c r="L142" s="77">
        <f ca="1">IFERROR(L140/L$139,"")</f>
        <v>0.83620798659229989</v>
      </c>
      <c r="M142" s="77">
        <f t="shared" ref="M142:N143" ca="1" si="3">IFERROR(M140/M$139,"")</f>
        <v>0.88561465960283825</v>
      </c>
      <c r="N142" s="77">
        <f t="shared" ca="1" si="3"/>
        <v>0.99950214640653035</v>
      </c>
      <c r="O142" s="77"/>
    </row>
    <row r="143" spans="1:15" ht="18" customHeight="1" x14ac:dyDescent="0.2">
      <c r="I143" s="48"/>
      <c r="K143" s="73" t="s">
        <v>121</v>
      </c>
      <c r="L143" s="77">
        <f ca="1">IFERROR(L141/L$139,"")</f>
        <v>0.16379201340770003</v>
      </c>
      <c r="M143" s="77">
        <f t="shared" ca="1" si="3"/>
        <v>0.11438534039716165</v>
      </c>
      <c r="N143" s="77">
        <f t="shared" ca="1" si="3"/>
        <v>4.9785359346966385E-4</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9</v>
      </c>
      <c r="B161" s="53"/>
      <c r="C161" s="78" t="s">
        <v>45</v>
      </c>
      <c r="D161" s="78" t="s">
        <v>122</v>
      </c>
      <c r="E161" s="78" t="s">
        <v>47</v>
      </c>
      <c r="F161" s="78" t="s">
        <v>123</v>
      </c>
      <c r="G161" s="79">
        <v>9</v>
      </c>
      <c r="H161" s="78"/>
      <c r="I161" s="78" t="s">
        <v>45</v>
      </c>
      <c r="J161" s="78" t="s">
        <v>122</v>
      </c>
      <c r="K161" s="78" t="s">
        <v>47</v>
      </c>
      <c r="L161" s="53" t="s">
        <v>123</v>
      </c>
      <c r="R161" s="21"/>
      <c r="S161" s="21"/>
    </row>
    <row r="162" spans="1:19" s="48" customFormat="1" x14ac:dyDescent="0.2">
      <c r="A162" s="49">
        <v>1</v>
      </c>
      <c r="B162" s="53" t="s">
        <v>102</v>
      </c>
      <c r="C162" s="53">
        <v>0.23399352420504338</v>
      </c>
      <c r="D162" s="53">
        <v>0.5195480485685896</v>
      </c>
      <c r="E162" s="53">
        <v>0.40915023734116318</v>
      </c>
      <c r="F162" s="49">
        <v>12153634</v>
      </c>
      <c r="G162" s="49">
        <v>1</v>
      </c>
      <c r="H162" s="53" t="s">
        <v>102</v>
      </c>
      <c r="I162" s="53">
        <v>0.21665929403956946</v>
      </c>
      <c r="J162" s="53">
        <v>0.60553237753606504</v>
      </c>
      <c r="K162" s="53">
        <v>0.36383260115698529</v>
      </c>
      <c r="L162" s="49">
        <v>12153634</v>
      </c>
      <c r="R162" s="21"/>
      <c r="S162" s="21"/>
    </row>
    <row r="163" spans="1:19" s="48" customFormat="1" x14ac:dyDescent="0.2">
      <c r="A163" s="49">
        <v>2</v>
      </c>
      <c r="B163" s="53" t="s">
        <v>143</v>
      </c>
      <c r="C163" s="53">
        <v>4.7012515324288337E-2</v>
      </c>
      <c r="D163" s="53">
        <v>0.12198931535118239</v>
      </c>
      <c r="E163" s="53">
        <v>4.0698851115943735E-2</v>
      </c>
      <c r="F163" s="49">
        <v>553960</v>
      </c>
      <c r="G163" s="49">
        <v>2</v>
      </c>
      <c r="H163" s="53" t="s">
        <v>143</v>
      </c>
      <c r="I163" s="53">
        <v>4.9143813676604822E-2</v>
      </c>
      <c r="J163" s="53">
        <v>0.15860833267052821</v>
      </c>
      <c r="K163" s="53">
        <v>3.7241348465528054E-2</v>
      </c>
      <c r="L163" s="49">
        <v>553960</v>
      </c>
      <c r="N163" s="48" t="s">
        <v>124</v>
      </c>
      <c r="R163" s="21"/>
      <c r="S163" s="21"/>
    </row>
    <row r="164" spans="1:19" s="48" customFormat="1" x14ac:dyDescent="0.2">
      <c r="A164" s="49">
        <v>3</v>
      </c>
      <c r="B164" s="53" t="s">
        <v>20</v>
      </c>
      <c r="C164" s="53">
        <v>3.8352862635718937E-2</v>
      </c>
      <c r="D164" s="53">
        <v>0.11217623356589475</v>
      </c>
      <c r="E164" s="53">
        <v>5.5836819102720293E-2</v>
      </c>
      <c r="F164" s="49">
        <v>3050596</v>
      </c>
      <c r="G164" s="49">
        <v>3</v>
      </c>
      <c r="H164" s="53" t="s">
        <v>20</v>
      </c>
      <c r="I164" s="53">
        <v>1.5298518548126638E-2</v>
      </c>
      <c r="J164" s="53">
        <v>5.5400209190193152E-2</v>
      </c>
      <c r="K164" s="53">
        <v>1.872235327481676E-2</v>
      </c>
      <c r="L164" s="49">
        <v>3050596</v>
      </c>
      <c r="N164" s="48" t="s">
        <v>125</v>
      </c>
      <c r="R164" s="21"/>
      <c r="S164" s="21"/>
    </row>
    <row r="165" spans="1:19" s="48" customFormat="1" x14ac:dyDescent="0.2">
      <c r="A165" s="49">
        <v>4</v>
      </c>
      <c r="B165" s="53" t="s">
        <v>126</v>
      </c>
      <c r="C165" s="53">
        <v>3.062442167308967E-2</v>
      </c>
      <c r="D165" s="53">
        <v>0.10452399351621006</v>
      </c>
      <c r="E165" s="53">
        <v>3.3721583105830143E-2</v>
      </c>
      <c r="F165" s="49">
        <v>1692097</v>
      </c>
      <c r="G165" s="49">
        <v>4</v>
      </c>
      <c r="H165" s="53" t="s">
        <v>126</v>
      </c>
      <c r="I165" s="53">
        <v>1.2703752288714539E-2</v>
      </c>
      <c r="J165" s="53">
        <v>5.1403275757199454E-2</v>
      </c>
      <c r="K165" s="53">
        <v>1.0742728131374946E-2</v>
      </c>
      <c r="L165" s="49">
        <v>1692097</v>
      </c>
      <c r="R165" s="21"/>
      <c r="S165" s="21"/>
    </row>
    <row r="166" spans="1:19" s="48" customFormat="1" x14ac:dyDescent="0.2">
      <c r="A166" s="49">
        <v>5</v>
      </c>
      <c r="B166" s="53" t="s">
        <v>98</v>
      </c>
      <c r="C166" s="53">
        <v>0</v>
      </c>
      <c r="D166" s="53">
        <v>3.1403343833314279E-2</v>
      </c>
      <c r="E166" s="53">
        <v>0</v>
      </c>
      <c r="F166" s="49">
        <v>3689192</v>
      </c>
      <c r="G166" s="49">
        <v>5</v>
      </c>
      <c r="H166" s="53" t="s">
        <v>98</v>
      </c>
      <c r="I166" s="53">
        <v>0</v>
      </c>
      <c r="J166" s="53">
        <v>4.1239182554964234E-2</v>
      </c>
      <c r="K166" s="53">
        <v>0</v>
      </c>
      <c r="L166" s="49">
        <v>3689192</v>
      </c>
      <c r="R166" s="21"/>
      <c r="S166" s="21"/>
    </row>
    <row r="167" spans="1:19" s="48" customFormat="1" x14ac:dyDescent="0.2">
      <c r="A167" s="49">
        <v>6</v>
      </c>
      <c r="B167" s="53" t="s">
        <v>128</v>
      </c>
      <c r="C167" s="53">
        <v>0</v>
      </c>
      <c r="D167" s="53">
        <v>0</v>
      </c>
      <c r="E167" s="53">
        <v>1.3526961333751635E-2</v>
      </c>
      <c r="F167" s="49">
        <v>2480382</v>
      </c>
      <c r="G167" s="49">
        <v>6</v>
      </c>
      <c r="H167" s="53" t="s">
        <v>145</v>
      </c>
      <c r="I167" s="53">
        <v>0</v>
      </c>
      <c r="J167" s="53">
        <v>0</v>
      </c>
      <c r="K167" s="53">
        <v>1.3352484684212962E-2</v>
      </c>
      <c r="L167" s="49">
        <v>7434864</v>
      </c>
      <c r="R167" s="21"/>
      <c r="S167" s="21"/>
    </row>
    <row r="168" spans="1:19" s="48" customFormat="1" x14ac:dyDescent="0.2">
      <c r="A168" s="49">
        <v>7</v>
      </c>
      <c r="B168" s="53" t="s">
        <v>195</v>
      </c>
      <c r="C168" s="53">
        <v>5.9439165874789569E-2</v>
      </c>
      <c r="D168" s="53">
        <v>0</v>
      </c>
      <c r="E168" s="53">
        <v>0</v>
      </c>
      <c r="F168" s="49">
        <v>11115023</v>
      </c>
      <c r="G168" s="49">
        <v>7</v>
      </c>
      <c r="H168" s="53" t="s">
        <v>128</v>
      </c>
      <c r="I168" s="53">
        <v>1.2968785886170084E-2</v>
      </c>
      <c r="J168" s="53">
        <v>0</v>
      </c>
      <c r="K168" s="53">
        <v>0</v>
      </c>
      <c r="L168" s="49">
        <v>2480382</v>
      </c>
      <c r="R168" s="21"/>
      <c r="S168" s="21"/>
    </row>
    <row r="169" spans="1:19" s="48" customFormat="1" x14ac:dyDescent="0.2">
      <c r="A169" s="49">
        <v>8</v>
      </c>
      <c r="B169" s="53" t="s">
        <v>107</v>
      </c>
      <c r="C169" s="53">
        <v>0.59057751028707006</v>
      </c>
      <c r="D169" s="53">
        <v>0.11035906516480876</v>
      </c>
      <c r="E169" s="53">
        <v>0.44706554800059095</v>
      </c>
      <c r="F169" s="49">
        <v>5920853</v>
      </c>
      <c r="G169" s="49">
        <v>8</v>
      </c>
      <c r="H169" s="53" t="s">
        <v>107</v>
      </c>
      <c r="I169" s="53">
        <v>0.69322583556081452</v>
      </c>
      <c r="J169" s="53">
        <v>8.7816622291049806E-2</v>
      </c>
      <c r="K169" s="53">
        <v>0.55610848428708204</v>
      </c>
      <c r="L169" s="49">
        <v>5920853</v>
      </c>
      <c r="R169" s="21"/>
      <c r="S169" s="21"/>
    </row>
    <row r="170" spans="1:19" s="48" customFormat="1" x14ac:dyDescent="0.2">
      <c r="A170" s="49">
        <v>9</v>
      </c>
      <c r="B170" s="53"/>
      <c r="C170" s="53">
        <v>0</v>
      </c>
      <c r="D170" s="53">
        <v>0</v>
      </c>
      <c r="E170" s="53">
        <v>0</v>
      </c>
      <c r="F170" s="49"/>
      <c r="G170" s="49">
        <v>9</v>
      </c>
      <c r="H170" s="53"/>
      <c r="I170" s="53">
        <v>0</v>
      </c>
      <c r="J170" s="53">
        <v>0</v>
      </c>
      <c r="K170" s="53">
        <v>0</v>
      </c>
      <c r="L170" s="49"/>
      <c r="R170" s="21"/>
      <c r="S170" s="21"/>
    </row>
    <row r="171" spans="1:19" s="48" customFormat="1" x14ac:dyDescent="0.2">
      <c r="A171" s="49">
        <v>10</v>
      </c>
      <c r="B171" s="53"/>
      <c r="C171" s="53">
        <v>0</v>
      </c>
      <c r="D171" s="53">
        <v>0</v>
      </c>
      <c r="E171" s="53">
        <v>0</v>
      </c>
      <c r="F171" s="49"/>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3EE0DDAE-6EDC-4BF7-AAC9-26C5BDEB19EA}">
      <formula1>$C$112:$C$113</formula1>
    </dataValidation>
  </dataValidations>
  <hyperlinks>
    <hyperlink ref="O1:P1" location="Home_page" display="Back to home page" xr:uid="{060B7B7C-EC53-44F8-9C8B-7B9CD0170EB0}"/>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014E26CF-A7E7-4BE0-8EB2-0ADCC255D1DB}">
          <x14:colorSeries rgb="FF323232"/>
          <x14:colorNegative rgb="FFD00000"/>
          <x14:colorAxis rgb="FF000000"/>
          <x14:colorMarkers rgb="FFD00000"/>
          <x14:colorFirst rgb="FFD00000"/>
          <x14:colorLast rgb="FFD00000"/>
          <x14:colorHigh rgb="FFD00000"/>
          <x14:colorLow rgb="FFD00000"/>
          <x14:sparklines>
            <x14:sparkline>
              <xm:f>'NS nephrops over 300kW'!D3:N3</xm:f>
              <xm:sqref>C3</xm:sqref>
            </x14:sparkline>
            <x14:sparkline>
              <xm:f>'NS nephrops over 300kW'!D4:N4</xm:f>
              <xm:sqref>C4</xm:sqref>
            </x14:sparkline>
            <x14:sparkline>
              <xm:f>'NS nephrops over 300kW'!D5:N5</xm:f>
              <xm:sqref>C5</xm:sqref>
            </x14:sparkline>
            <x14:sparkline>
              <xm:f>'NS nephrops over 300kW'!D6:N6</xm:f>
              <xm:sqref>C6</xm:sqref>
            </x14:sparkline>
            <x14:sparkline>
              <xm:f>'NS nephrops over 300kW'!D7:N7</xm:f>
              <xm:sqref>C7</xm:sqref>
            </x14:sparkline>
            <x14:sparkline>
              <xm:f>'NS nephrops over 300kW'!D8:N8</xm:f>
              <xm:sqref>C8</xm:sqref>
            </x14:sparkline>
            <x14:sparkline>
              <xm:f>'NS nephrops over 300kW'!D9:N9</xm:f>
              <xm:sqref>C9</xm:sqref>
            </x14:sparkline>
            <x14:sparkline>
              <xm:f>'NS nephrops over 300kW'!D10:N10</xm:f>
              <xm:sqref>C10</xm:sqref>
            </x14:sparkline>
            <x14:sparkline>
              <xm:f>'NS nephrops over 300kW'!D11:N11</xm:f>
              <xm:sqref>C11</xm:sqref>
            </x14:sparkline>
            <x14:sparkline>
              <xm:f>'NS nephrops over 300kW'!D12:N12</xm:f>
              <xm:sqref>C12</xm:sqref>
            </x14:sparkline>
            <x14:sparkline>
              <xm:f>'NS nephrops over 300kW'!D13:N13</xm:f>
              <xm:sqref>C13</xm:sqref>
            </x14:sparkline>
            <x14:sparkline>
              <xm:f>'NS nephrops over 300kW'!D14:N14</xm:f>
              <xm:sqref>C14</xm:sqref>
            </x14:sparkline>
            <x14:sparkline>
              <xm:f>'NS nephrops over 300kW'!D15:N15</xm:f>
              <xm:sqref>C15</xm:sqref>
            </x14:sparkline>
            <x14:sparkline>
              <xm:f>'NS nephrops over 300kW'!D16:N16</xm:f>
              <xm:sqref>C16</xm:sqref>
            </x14:sparkline>
            <x14:sparkline>
              <xm:f>'NS nephrops over 300kW'!D17:N17</xm:f>
              <xm:sqref>C17</xm:sqref>
            </x14:sparkline>
            <x14:sparkline>
              <xm:f>'NS nephrops over 300kW'!D18:N18</xm:f>
              <xm:sqref>C18</xm:sqref>
            </x14:sparkline>
            <x14:sparkline>
              <xm:f>'NS nephrops over 300kW'!D19:N19</xm:f>
              <xm:sqref>C19</xm:sqref>
            </x14:sparkline>
            <x14:sparkline>
              <xm:f>'NS nephrops over 300kW'!D20:N20</xm:f>
              <xm:sqref>C20</xm:sqref>
            </x14:sparkline>
            <x14:sparkline>
              <xm:f>'NS nephrops over 300kW'!D21:N21</xm:f>
              <xm:sqref>C21</xm:sqref>
            </x14:sparkline>
            <x14:sparkline>
              <xm:f>'NS nephrops over 300kW'!D22:N22</xm:f>
              <xm:sqref>C22</xm:sqref>
            </x14:sparkline>
            <x14:sparkline>
              <xm:f>'NS nephrops over 300kW'!D23:N23</xm:f>
              <xm:sqref>C23</xm:sqref>
            </x14:sparkline>
            <x14:sparkline>
              <xm:f>'NS nephrops over 300kW'!D24:N24</xm:f>
              <xm:sqref>C24</xm:sqref>
            </x14:sparkline>
            <x14:sparkline>
              <xm:f>'NS nephrops over 300kW'!D25:N25</xm:f>
              <xm:sqref>C25</xm:sqref>
            </x14:sparkline>
            <x14:sparkline>
              <xm:f>'NS nephrops over 300kW'!D26:N26</xm:f>
              <xm:sqref>C26</xm:sqref>
            </x14:sparkline>
            <x14:sparkline>
              <xm:f>'NS nephrops over 300kW'!D27:N27</xm:f>
              <xm:sqref>C27</xm:sqref>
            </x14:sparkline>
            <x14:sparkline>
              <xm:f>'NS nephrops over 300kW'!D28:N28</xm:f>
              <xm:sqref>C28</xm:sqref>
            </x14:sparkline>
            <x14:sparkline>
              <xm:f>'NS nephrops over 300kW'!D29:N29</xm:f>
              <xm:sqref>C29</xm:sqref>
            </x14:sparkline>
            <x14:sparkline>
              <xm:f>'NS nephrops over 300kW'!D30:N30</xm:f>
              <xm:sqref>C30</xm:sqref>
            </x14:sparkline>
            <x14:sparkline>
              <xm:f>'NS nephrops over 300kW'!D31:N31</xm:f>
              <xm:sqref>C31</xm:sqref>
            </x14:sparkline>
            <x14:sparkline>
              <xm:f>'NS nephrops over 300kW'!D32:N32</xm:f>
              <xm:sqref>C32</xm:sqref>
            </x14:sparkline>
            <x14:sparkline>
              <xm:f>'NS nephrops over 300kW'!D33:N33</xm:f>
              <xm:sqref>C33</xm:sqref>
            </x14:sparkline>
            <x14:sparkline>
              <xm:f>'NS nephrops over 300kW'!D34:N34</xm:f>
              <xm:sqref>C34</xm:sqref>
            </x14:sparkline>
            <x14:sparkline>
              <xm:f>'NS nephrops over 300kW'!D35:N35</xm:f>
              <xm:sqref>C35</xm:sqref>
            </x14:sparkline>
            <x14:sparkline>
              <xm:f>'NS nephrops over 300kW'!D36:N36</xm:f>
              <xm:sqref>C36</xm:sqref>
            </x14:sparkline>
            <x14:sparkline>
              <xm:f>'NS nephrops over 300kW'!D37:N37</xm:f>
              <xm:sqref>C37</xm:sqref>
            </x14:sparkline>
            <x14:sparkline>
              <xm:f>'NS nephrops over 300kW'!D38:N38</xm:f>
              <xm:sqref>C38</xm:sqref>
            </x14:sparkline>
            <x14:sparkline>
              <xm:f>'NS nephrops over 300kW'!D39:N39</xm:f>
              <xm:sqref>C39</xm:sqref>
            </x14:sparkline>
            <x14:sparkline>
              <xm:f>'NS nephrops over 300kW'!D40:N40</xm:f>
              <xm:sqref>C40</xm:sqref>
            </x14:sparkline>
            <x14:sparkline>
              <xm:f>'NS nephrops over 300kW'!D41:N41</xm:f>
              <xm:sqref>C41</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CD2AE-22AB-45CB-B9ED-A72BAD4BEA54}">
  <sheetPr codeName="Feuil20">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304</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65</v>
      </c>
      <c r="E3" s="28">
        <v>66</v>
      </c>
      <c r="F3" s="28">
        <v>57</v>
      </c>
      <c r="G3" s="28">
        <v>70</v>
      </c>
      <c r="H3" s="28">
        <v>58</v>
      </c>
      <c r="I3" s="28">
        <v>63</v>
      </c>
      <c r="J3" s="28">
        <v>70</v>
      </c>
      <c r="K3" s="28">
        <v>63</v>
      </c>
      <c r="L3" s="28">
        <v>66</v>
      </c>
      <c r="M3" s="28">
        <v>68</v>
      </c>
      <c r="N3" s="28">
        <v>60</v>
      </c>
      <c r="O3" s="29">
        <f t="shared" ref="O3:O41" si="0">IF(N3=0,"",IFERROR(IF(AND(N3&gt;0,D3&lt;0),"na",IF(AND(N3&lt;0,D3&lt;0),-1,1)*(N3-D3)/D3),""))</f>
        <v>-7.6923076923076927E-2</v>
      </c>
      <c r="P3" s="29">
        <f t="shared" ref="P3:P41" si="1">IF(N3=0,"",IFERROR(IF(AND(N3&gt;0,J3&lt;0),"na",IF(AND(N3&lt;0,J3&lt;0),-1,1)*(N3-J3)/J3),""))</f>
        <v>-0.14285714285714285</v>
      </c>
    </row>
    <row r="4" spans="1:17" ht="18" customHeight="1" x14ac:dyDescent="0.2">
      <c r="A4" s="193"/>
      <c r="B4" s="30" t="s">
        <v>55</v>
      </c>
      <c r="C4" s="31"/>
      <c r="D4" s="31">
        <v>11857</v>
      </c>
      <c r="E4" s="31">
        <v>11670</v>
      </c>
      <c r="F4" s="31">
        <v>9771</v>
      </c>
      <c r="G4" s="31">
        <v>12303</v>
      </c>
      <c r="H4" s="31">
        <v>10115</v>
      </c>
      <c r="I4" s="31">
        <v>11145</v>
      </c>
      <c r="J4" s="31">
        <v>11947</v>
      </c>
      <c r="K4" s="31">
        <v>10803</v>
      </c>
      <c r="L4" s="31">
        <v>11702</v>
      </c>
      <c r="M4" s="31">
        <v>11761</v>
      </c>
      <c r="N4" s="31">
        <v>10813</v>
      </c>
      <c r="O4" s="29">
        <f t="shared" si="0"/>
        <v>-8.804925360546513E-2</v>
      </c>
      <c r="P4" s="29">
        <f t="shared" si="1"/>
        <v>-9.4919226584079683E-2</v>
      </c>
    </row>
    <row r="5" spans="1:17" ht="18" customHeight="1" x14ac:dyDescent="0.2">
      <c r="A5" s="193"/>
      <c r="B5" s="30" t="s">
        <v>56</v>
      </c>
      <c r="C5" s="31"/>
      <c r="D5" s="31">
        <v>2812</v>
      </c>
      <c r="E5" s="31">
        <v>2799</v>
      </c>
      <c r="F5" s="31">
        <v>2245</v>
      </c>
      <c r="G5" s="31">
        <v>2959</v>
      </c>
      <c r="H5" s="31">
        <v>2304</v>
      </c>
      <c r="I5" s="31">
        <v>2574</v>
      </c>
      <c r="J5" s="31">
        <v>2703</v>
      </c>
      <c r="K5" s="31">
        <v>2321</v>
      </c>
      <c r="L5" s="31">
        <v>2523</v>
      </c>
      <c r="M5" s="31">
        <v>2496</v>
      </c>
      <c r="N5" s="31">
        <v>2200</v>
      </c>
      <c r="O5" s="29">
        <f t="shared" si="0"/>
        <v>-0.21763869132290184</v>
      </c>
      <c r="P5" s="29">
        <f t="shared" si="1"/>
        <v>-0.18608953015168331</v>
      </c>
      <c r="Q5" s="32"/>
    </row>
    <row r="6" spans="1:17" ht="18" customHeight="1" x14ac:dyDescent="0.2">
      <c r="A6" s="193"/>
      <c r="B6" s="30" t="s">
        <v>57</v>
      </c>
      <c r="C6" s="31"/>
      <c r="D6" s="31">
        <v>10246.5107421875</v>
      </c>
      <c r="E6" s="31">
        <v>10194.84375</v>
      </c>
      <c r="F6" s="31">
        <v>8490.8203125</v>
      </c>
      <c r="G6" s="31">
        <v>10780.9052734375</v>
      </c>
      <c r="H6" s="31">
        <v>8729.9375</v>
      </c>
      <c r="I6" s="31">
        <v>9676.716796875</v>
      </c>
      <c r="J6" s="31">
        <v>10413.5107421875</v>
      </c>
      <c r="K6" s="31">
        <v>9373.2421875</v>
      </c>
      <c r="L6" s="31">
        <v>9827.5400390625</v>
      </c>
      <c r="M6" s="31">
        <v>9921.080078125</v>
      </c>
      <c r="N6" s="31">
        <v>8674.79296875</v>
      </c>
      <c r="O6" s="29">
        <f t="shared" si="0"/>
        <v>-0.15339053585981585</v>
      </c>
      <c r="P6" s="29">
        <f t="shared" si="1"/>
        <v>-0.16696749218239715</v>
      </c>
    </row>
    <row r="7" spans="1:17" ht="18" customHeight="1" x14ac:dyDescent="0.2">
      <c r="A7" s="193"/>
      <c r="B7" s="30" t="s">
        <v>58</v>
      </c>
      <c r="C7" s="31"/>
      <c r="D7" s="31">
        <v>5012.86376953125</v>
      </c>
      <c r="E7" s="31">
        <v>4770.91552734375</v>
      </c>
      <c r="F7" s="31">
        <v>3612.77392578125</v>
      </c>
      <c r="G7" s="31">
        <v>4722.68896484375</v>
      </c>
      <c r="H7" s="31">
        <v>2757.90283203125</v>
      </c>
      <c r="I7" s="31">
        <v>4665.78125</v>
      </c>
      <c r="J7" s="31">
        <v>4858.2373046875</v>
      </c>
      <c r="K7" s="31">
        <v>4179.69677734375</v>
      </c>
      <c r="L7" s="31">
        <v>5160.4482421875</v>
      </c>
      <c r="M7" s="31">
        <v>3062.019775390625</v>
      </c>
      <c r="N7" s="31">
        <v>3242.499267578125</v>
      </c>
      <c r="O7" s="29">
        <f t="shared" si="0"/>
        <v>-0.35316429556965018</v>
      </c>
      <c r="P7" s="29">
        <f t="shared" si="1"/>
        <v>-0.33257701009179197</v>
      </c>
    </row>
    <row r="8" spans="1:17" ht="18" customHeight="1" x14ac:dyDescent="0.2">
      <c r="A8" s="193"/>
      <c r="B8" s="30" t="s">
        <v>59</v>
      </c>
      <c r="C8" s="33"/>
      <c r="D8" s="33">
        <f ca="1">16.242203*OFFSET(D$112,MATCH($N$1,$C$112:$C$113,0)-1,0)</f>
        <v>16.242203</v>
      </c>
      <c r="E8" s="33">
        <f ca="1">14.932512*OFFSET(E$112,MATCH($N$1,$C$112:$C$113,0)-1,0)</f>
        <v>14.932511999999999</v>
      </c>
      <c r="F8" s="33">
        <f ca="1">9.799892*OFFSET(F$112,MATCH($N$1,$C$112:$C$113,0)-1,0)</f>
        <v>9.7998919999999998</v>
      </c>
      <c r="G8" s="33">
        <f ca="1">13.815743*OFFSET(G$112,MATCH($N$1,$C$112:$C$113,0)-1,0)</f>
        <v>13.815742999999999</v>
      </c>
      <c r="H8" s="33">
        <f ca="1">8.0807115*OFFSET(H$112,MATCH($N$1,$C$112:$C$113,0)-1,0)</f>
        <v>8.0807114999999996</v>
      </c>
      <c r="I8" s="33">
        <f ca="1">13.465494*OFFSET(I$112,MATCH($N$1,$C$112:$C$113,0)-1,0)</f>
        <v>13.465494</v>
      </c>
      <c r="J8" s="33">
        <f ca="1">14.133473*OFFSET(J$112,MATCH($N$1,$C$112:$C$113,0)-1,0)</f>
        <v>14.133473</v>
      </c>
      <c r="K8" s="33">
        <f ca="1">12.310184*OFFSET(K$112,MATCH($N$1,$C$112:$C$113,0)-1,0)</f>
        <v>12.310184</v>
      </c>
      <c r="L8" s="33">
        <f ca="1">13.224764*OFFSET(L$112,MATCH($N$1,$C$112:$C$113,0)-1,0)</f>
        <v>13.224764</v>
      </c>
      <c r="M8" s="33">
        <f ca="1">6.726619*OFFSET(M$112,MATCH($N$1,$C$112:$C$113,0)-1,0)</f>
        <v>6.7266190000000003</v>
      </c>
      <c r="N8" s="33">
        <v>6.9507054999999998</v>
      </c>
      <c r="O8" s="29">
        <f t="shared" ca="1" si="0"/>
        <v>-0.5720589442208055</v>
      </c>
      <c r="P8" s="29">
        <f t="shared" ca="1" si="1"/>
        <v>-0.50820965943756358</v>
      </c>
    </row>
    <row r="9" spans="1:17" ht="18" customHeight="1" x14ac:dyDescent="0.2">
      <c r="A9" s="193"/>
      <c r="B9" s="30" t="s">
        <v>60</v>
      </c>
      <c r="C9" s="31"/>
      <c r="D9" s="31">
        <v>8973</v>
      </c>
      <c r="E9" s="31">
        <v>8950</v>
      </c>
      <c r="F9" s="31">
        <v>7121</v>
      </c>
      <c r="G9" s="31">
        <v>8318</v>
      </c>
      <c r="H9" s="31">
        <v>6282</v>
      </c>
      <c r="I9" s="31">
        <v>8597</v>
      </c>
      <c r="J9" s="31">
        <v>8884</v>
      </c>
      <c r="K9" s="31">
        <v>7840</v>
      </c>
      <c r="L9" s="31">
        <v>8189</v>
      </c>
      <c r="M9" s="31">
        <v>6717</v>
      </c>
      <c r="N9" s="31">
        <v>5952</v>
      </c>
      <c r="O9" s="29">
        <f t="shared" si="0"/>
        <v>-0.33667669675693745</v>
      </c>
      <c r="P9" s="29">
        <f t="shared" si="1"/>
        <v>-0.33003151733453401</v>
      </c>
    </row>
    <row r="10" spans="1:17" ht="18" customHeight="1" x14ac:dyDescent="0.2">
      <c r="A10" s="193"/>
      <c r="B10" s="30" t="s">
        <v>61</v>
      </c>
      <c r="C10" s="31"/>
      <c r="D10" s="31">
        <v>211.56979370117188</v>
      </c>
      <c r="E10" s="31">
        <v>233.42524719238281</v>
      </c>
      <c r="F10" s="31">
        <v>163.54466247558594</v>
      </c>
      <c r="G10" s="31">
        <v>186.1785888671875</v>
      </c>
      <c r="H10" s="31">
        <v>151.05184936523438</v>
      </c>
      <c r="I10" s="31">
        <v>179.60585021972656</v>
      </c>
      <c r="J10" s="31">
        <v>155.23304748535156</v>
      </c>
      <c r="K10" s="31">
        <v>167.53038024902344</v>
      </c>
      <c r="L10" s="31">
        <v>154.04998779296875</v>
      </c>
      <c r="M10" s="31">
        <v>137.67251586914063</v>
      </c>
      <c r="N10" s="31">
        <v>119.81249237060547</v>
      </c>
      <c r="O10" s="34">
        <f t="shared" si="0"/>
        <v>-0.43369755070124721</v>
      </c>
      <c r="P10" s="34">
        <f t="shared" si="1"/>
        <v>-0.22817663950125391</v>
      </c>
    </row>
    <row r="11" spans="1:17" ht="18" customHeight="1" x14ac:dyDescent="0.2">
      <c r="A11" s="194" t="s">
        <v>27</v>
      </c>
      <c r="B11" s="35" t="s">
        <v>62</v>
      </c>
      <c r="C11" s="36"/>
      <c r="D11" s="36">
        <v>14.211384773254395</v>
      </c>
      <c r="E11" s="36">
        <v>14.133029937744141</v>
      </c>
      <c r="F11" s="36">
        <v>14.036491394042969</v>
      </c>
      <c r="G11" s="36">
        <v>14.169428825378418</v>
      </c>
      <c r="H11" s="36">
        <v>14.125</v>
      </c>
      <c r="I11" s="36">
        <v>14.273651123046875</v>
      </c>
      <c r="J11" s="36">
        <v>14.05814266204834</v>
      </c>
      <c r="K11" s="36">
        <v>14.109841346740723</v>
      </c>
      <c r="L11" s="36">
        <v>14.08712100982666</v>
      </c>
      <c r="M11" s="36">
        <v>13.943235397338867</v>
      </c>
      <c r="N11" s="36">
        <v>13.804666519165039</v>
      </c>
      <c r="O11" s="29">
        <f t="shared" si="0"/>
        <v>-2.8619185292540449E-2</v>
      </c>
      <c r="P11" s="29">
        <f t="shared" si="1"/>
        <v>-1.8030557021418651E-2</v>
      </c>
    </row>
    <row r="12" spans="1:17" ht="18" customHeight="1" x14ac:dyDescent="0.2">
      <c r="A12" s="195"/>
      <c r="B12" s="37" t="s">
        <v>55</v>
      </c>
      <c r="C12" s="31"/>
      <c r="D12" s="31">
        <v>182.41539001464844</v>
      </c>
      <c r="E12" s="31">
        <v>176.81817626953125</v>
      </c>
      <c r="F12" s="31">
        <v>171.42105102539063</v>
      </c>
      <c r="G12" s="31">
        <v>175.75714111328125</v>
      </c>
      <c r="H12" s="31">
        <v>174.39654541015625</v>
      </c>
      <c r="I12" s="31">
        <v>176.90475463867188</v>
      </c>
      <c r="J12" s="31">
        <v>170.67143249511719</v>
      </c>
      <c r="K12" s="31">
        <v>171.4761962890625</v>
      </c>
      <c r="L12" s="31">
        <v>177.30302429199219</v>
      </c>
      <c r="M12" s="31">
        <v>172.95588684082031</v>
      </c>
      <c r="N12" s="31">
        <v>180.21665954589844</v>
      </c>
      <c r="O12" s="29">
        <f t="shared" si="0"/>
        <v>-1.2053426350558668E-2</v>
      </c>
      <c r="P12" s="29">
        <f t="shared" si="1"/>
        <v>5.5927502987673898E-2</v>
      </c>
    </row>
    <row r="13" spans="1:17" ht="18" customHeight="1" x14ac:dyDescent="0.2">
      <c r="A13" s="195"/>
      <c r="B13" s="37" t="s">
        <v>56</v>
      </c>
      <c r="C13" s="31"/>
      <c r="D13" s="31">
        <v>43.261539459228516</v>
      </c>
      <c r="E13" s="31">
        <v>42.409091949462891</v>
      </c>
      <c r="F13" s="31">
        <v>39.385963439941406</v>
      </c>
      <c r="G13" s="31">
        <v>42.271427154541016</v>
      </c>
      <c r="H13" s="31">
        <v>39.724136352539063</v>
      </c>
      <c r="I13" s="31">
        <v>40.857143402099609</v>
      </c>
      <c r="J13" s="31">
        <v>38.614284515380859</v>
      </c>
      <c r="K13" s="31">
        <v>36.841270446777344</v>
      </c>
      <c r="L13" s="31">
        <v>38.227272033691406</v>
      </c>
      <c r="M13" s="31">
        <v>36.705883026123047</v>
      </c>
      <c r="N13" s="31">
        <v>36.666667938232422</v>
      </c>
      <c r="O13" s="29">
        <f t="shared" si="0"/>
        <v>-0.15244190575352448</v>
      </c>
      <c r="P13" s="29">
        <f t="shared" si="1"/>
        <v>-5.0437722764814195E-2</v>
      </c>
    </row>
    <row r="14" spans="1:17" ht="18" customHeight="1" x14ac:dyDescent="0.2">
      <c r="A14" s="195"/>
      <c r="B14" s="37" t="s">
        <v>57</v>
      </c>
      <c r="C14" s="31"/>
      <c r="D14" s="31">
        <v>157.63862609863281</v>
      </c>
      <c r="E14" s="31">
        <v>154.46733093261719</v>
      </c>
      <c r="F14" s="31">
        <v>148.96176147460938</v>
      </c>
      <c r="G14" s="31">
        <v>154.012939453125</v>
      </c>
      <c r="H14" s="31">
        <v>150.51615905761719</v>
      </c>
      <c r="I14" s="31">
        <v>153.59867858886719</v>
      </c>
      <c r="J14" s="31">
        <v>148.76445007324219</v>
      </c>
      <c r="K14" s="31">
        <v>148.7816162109375</v>
      </c>
      <c r="L14" s="31">
        <v>151.19293212890625</v>
      </c>
      <c r="M14" s="31">
        <v>148.07582092285156</v>
      </c>
      <c r="N14" s="31">
        <v>149.56539916992188</v>
      </c>
      <c r="O14" s="29">
        <f t="shared" si="0"/>
        <v>-5.1213507301564563E-2</v>
      </c>
      <c r="P14" s="29">
        <f t="shared" si="1"/>
        <v>5.3840087217433396E-3</v>
      </c>
    </row>
    <row r="15" spans="1:17" ht="18" customHeight="1" x14ac:dyDescent="0.2">
      <c r="A15" s="195"/>
      <c r="B15" s="37" t="s">
        <v>58</v>
      </c>
      <c r="C15" s="33"/>
      <c r="D15" s="33">
        <v>77.120979309082031</v>
      </c>
      <c r="E15" s="33">
        <v>72.286598205566406</v>
      </c>
      <c r="F15" s="33">
        <v>63.381999969482422</v>
      </c>
      <c r="G15" s="33">
        <v>67.466987609863281</v>
      </c>
      <c r="H15" s="33">
        <v>47.550048828125</v>
      </c>
      <c r="I15" s="33">
        <v>74.060020446777344</v>
      </c>
      <c r="J15" s="33">
        <v>69.403388977050781</v>
      </c>
      <c r="K15" s="33">
        <v>66.344398498535156</v>
      </c>
      <c r="L15" s="33">
        <v>78.188606262207031</v>
      </c>
      <c r="M15" s="33">
        <v>45.029705047607422</v>
      </c>
      <c r="N15" s="33">
        <v>54.041656494140625</v>
      </c>
      <c r="O15" s="29">
        <f t="shared" si="0"/>
        <v>-0.29926127782227874</v>
      </c>
      <c r="P15" s="29">
        <f t="shared" si="1"/>
        <v>-0.22133980356477595</v>
      </c>
    </row>
    <row r="16" spans="1:17" ht="18" customHeight="1" x14ac:dyDescent="0.2">
      <c r="A16" s="195"/>
      <c r="B16" s="37" t="s">
        <v>63</v>
      </c>
      <c r="C16" s="33"/>
      <c r="D16" s="33">
        <f ca="1">249.880046875*OFFSET(D$112,MATCH($N$1,$C$112:$C$113,0)-1,0)</f>
        <v>249.88004687500001</v>
      </c>
      <c r="E16" s="33">
        <f ca="1">226.2501875*OFFSET(E$112,MATCH($N$1,$C$112:$C$113,0)-1,0)</f>
        <v>226.25018750000001</v>
      </c>
      <c r="F16" s="33">
        <f ca="1">171.9279375*OFFSET(F$112,MATCH($N$1,$C$112:$C$113,0)-1,0)</f>
        <v>171.92793750000001</v>
      </c>
      <c r="G16" s="33">
        <f ca="1">197.36775*OFFSET(G$112,MATCH($N$1,$C$112:$C$113,0)-1,0)</f>
        <v>197.36775</v>
      </c>
      <c r="H16" s="33">
        <f ca="1">139.322609375*OFFSET(H$112,MATCH($N$1,$C$112:$C$113,0)-1,0)</f>
        <v>139.32260937500001</v>
      </c>
      <c r="I16" s="33">
        <f ca="1">213.738*OFFSET(I$112,MATCH($N$1,$C$112:$C$113,0)-1,0)</f>
        <v>213.738</v>
      </c>
      <c r="J16" s="33">
        <f ca="1">201.90675*OFFSET(J$112,MATCH($N$1,$C$112:$C$113,0)-1,0)</f>
        <v>201.90674999999999</v>
      </c>
      <c r="K16" s="33">
        <f ca="1">195.39975*OFFSET(K$112,MATCH($N$1,$C$112:$C$113,0)-1,0)</f>
        <v>195.39975000000001</v>
      </c>
      <c r="L16" s="33">
        <f ca="1">200.37521875*OFFSET(L$112,MATCH($N$1,$C$112:$C$113,0)-1,0)</f>
        <v>200.37521874999999</v>
      </c>
      <c r="M16" s="33">
        <f ca="1">98.9208671875*OFFSET(M$112,MATCH($N$1,$C$112:$C$113,0)-1,0)</f>
        <v>98.920867187499994</v>
      </c>
      <c r="N16" s="33">
        <v>115.84509375</v>
      </c>
      <c r="O16" s="29">
        <f t="shared" ca="1" si="0"/>
        <v>-0.53639718257316349</v>
      </c>
      <c r="P16" s="29">
        <f t="shared" ca="1" si="1"/>
        <v>-0.42624457206111233</v>
      </c>
    </row>
    <row r="17" spans="1:16" ht="18" customHeight="1" x14ac:dyDescent="0.2">
      <c r="A17" s="195"/>
      <c r="B17" s="37" t="s">
        <v>60</v>
      </c>
      <c r="C17" s="31"/>
      <c r="D17" s="31">
        <v>138.04615783691406</v>
      </c>
      <c r="E17" s="31">
        <v>135.60606384277344</v>
      </c>
      <c r="F17" s="31">
        <v>124.92982482910156</v>
      </c>
      <c r="G17" s="31">
        <v>118.82857513427734</v>
      </c>
      <c r="H17" s="31">
        <v>108.31034851074219</v>
      </c>
      <c r="I17" s="31">
        <v>136.46031188964844</v>
      </c>
      <c r="J17" s="31">
        <v>126.91428375244141</v>
      </c>
      <c r="K17" s="31">
        <v>124.44444274902344</v>
      </c>
      <c r="L17" s="31">
        <v>124.07575988769531</v>
      </c>
      <c r="M17" s="31">
        <v>98.779411315917969</v>
      </c>
      <c r="N17" s="31">
        <v>99.199996948242188</v>
      </c>
      <c r="O17" s="29">
        <f t="shared" si="0"/>
        <v>-0.28139979770073881</v>
      </c>
      <c r="P17" s="29">
        <f t="shared" si="1"/>
        <v>-0.21837011552031935</v>
      </c>
    </row>
    <row r="18" spans="1:16" ht="18" customHeight="1" x14ac:dyDescent="0.2">
      <c r="A18" s="195"/>
      <c r="B18" s="37" t="s">
        <v>64</v>
      </c>
      <c r="C18" s="31"/>
      <c r="D18" s="31">
        <v>30.661539077758789</v>
      </c>
      <c r="E18" s="31">
        <v>32.909091949462891</v>
      </c>
      <c r="F18" s="31">
        <v>34.543861389160156</v>
      </c>
      <c r="G18" s="31">
        <v>35.385715484619141</v>
      </c>
      <c r="H18" s="31">
        <v>36.465518951416016</v>
      </c>
      <c r="I18" s="31">
        <v>37.365077972412109</v>
      </c>
      <c r="J18" s="31">
        <v>38.228572845458984</v>
      </c>
      <c r="K18" s="31">
        <v>39.507938385009766</v>
      </c>
      <c r="L18" s="31">
        <v>41.138462066650391</v>
      </c>
      <c r="M18" s="31">
        <v>41.134326934814453</v>
      </c>
      <c r="N18" s="31">
        <v>40.224136352539063</v>
      </c>
      <c r="O18" s="29">
        <f t="shared" si="0"/>
        <v>0.31187597108315979</v>
      </c>
      <c r="P18" s="29">
        <f t="shared" si="1"/>
        <v>5.2200837189168646E-2</v>
      </c>
    </row>
    <row r="19" spans="1:16" ht="18" customHeight="1" x14ac:dyDescent="0.2">
      <c r="A19" s="195"/>
      <c r="B19" s="37" t="s">
        <v>65</v>
      </c>
      <c r="C19" s="38"/>
      <c r="D19" s="38">
        <v>0.55866080522537231</v>
      </c>
      <c r="E19" s="38">
        <v>0.53306317329406738</v>
      </c>
      <c r="F19" s="38">
        <v>0.50734084844589233</v>
      </c>
      <c r="G19" s="38">
        <v>0.56776738166809082</v>
      </c>
      <c r="H19" s="38">
        <v>0.4390166699886322</v>
      </c>
      <c r="I19" s="38">
        <v>0.54272204637527466</v>
      </c>
      <c r="J19" s="38">
        <v>0.5468524694442749</v>
      </c>
      <c r="K19" s="38">
        <v>0.53312462568283081</v>
      </c>
      <c r="L19" s="38">
        <v>0.63016825914382935</v>
      </c>
      <c r="M19" s="38">
        <v>0.45586124062538147</v>
      </c>
      <c r="N19" s="38">
        <v>0.54477477073669434</v>
      </c>
      <c r="O19" s="29">
        <f t="shared" si="0"/>
        <v>-2.4855931110248801E-2</v>
      </c>
      <c r="P19" s="29">
        <f t="shared" si="1"/>
        <v>-3.7993770233715422E-3</v>
      </c>
    </row>
    <row r="20" spans="1:16" ht="18" customHeight="1" x14ac:dyDescent="0.2">
      <c r="A20" s="196"/>
      <c r="B20" s="39" t="s">
        <v>28</v>
      </c>
      <c r="C20" s="40"/>
      <c r="D20" s="40">
        <f ca="1">3240*OFFSET(D$112,MATCH($N$1,$C$112:$C$113,0)-1,0)</f>
        <v>3240</v>
      </c>
      <c r="E20" s="40">
        <f ca="1">3130*OFFSET(E$112,MATCH($N$1,$C$112:$C$113,0)-1,0)</f>
        <v>3130</v>
      </c>
      <c r="F20" s="40">
        <f ca="1">2713*OFFSET(F$112,MATCH($N$1,$C$112:$C$113,0)-1,0)</f>
        <v>2713</v>
      </c>
      <c r="G20" s="40">
        <f ca="1">2925*OFFSET(G$112,MATCH($N$1,$C$112:$C$113,0)-1,0)</f>
        <v>2925</v>
      </c>
      <c r="H20" s="40">
        <f ca="1">2930*OFFSET(H$112,MATCH($N$1,$C$112:$C$113,0)-1,0)</f>
        <v>2930</v>
      </c>
      <c r="I20" s="40">
        <f ca="1">2886*OFFSET(I$112,MATCH($N$1,$C$112:$C$113,0)-1,0)</f>
        <v>2886</v>
      </c>
      <c r="J20" s="40">
        <f ca="1">2909*OFFSET(J$112,MATCH($N$1,$C$112:$C$113,0)-1,0)</f>
        <v>2909</v>
      </c>
      <c r="K20" s="40">
        <f ca="1">2945*OFFSET(K$112,MATCH($N$1,$C$112:$C$113,0)-1,0)</f>
        <v>2945</v>
      </c>
      <c r="L20" s="40">
        <f ca="1">2563*OFFSET(L$112,MATCH($N$1,$C$112:$C$113,0)-1,0)</f>
        <v>2563</v>
      </c>
      <c r="M20" s="40">
        <f ca="1">2197*OFFSET(M$112,MATCH($N$1,$C$112:$C$113,0)-1,0)</f>
        <v>2197</v>
      </c>
      <c r="N20" s="40">
        <v>2144</v>
      </c>
      <c r="O20" s="34">
        <f t="shared" ca="1" si="0"/>
        <v>-0.33827160493827163</v>
      </c>
      <c r="P20" s="34">
        <f t="shared" ca="1" si="1"/>
        <v>-0.26297696803025095</v>
      </c>
    </row>
    <row r="21" spans="1:16" ht="18" customHeight="1" x14ac:dyDescent="0.2">
      <c r="A21" s="197" t="s">
        <v>29</v>
      </c>
      <c r="B21" s="35" t="s">
        <v>66</v>
      </c>
      <c r="C21" s="41"/>
      <c r="D21" s="41">
        <v>2.9502739506136586</v>
      </c>
      <c r="E21" s="41">
        <v>2.8683846365261076</v>
      </c>
      <c r="F21" s="41">
        <v>2.8315494410973101</v>
      </c>
      <c r="G21" s="41">
        <v>3.055330906822975</v>
      </c>
      <c r="H21" s="41">
        <v>2.3536535412319641</v>
      </c>
      <c r="I21" s="41">
        <v>2.8779996556265526</v>
      </c>
      <c r="J21" s="41">
        <v>3.0225267443103707</v>
      </c>
      <c r="K21" s="41">
        <v>2.9461208976049122</v>
      </c>
      <c r="L21" s="41">
        <v>3.368814536579968</v>
      </c>
      <c r="M21" s="41">
        <v>2.4588692636102594</v>
      </c>
      <c r="N21" s="41">
        <v>2.8518150924564001</v>
      </c>
      <c r="O21" s="29">
        <f t="shared" si="0"/>
        <v>-3.337278497028353E-2</v>
      </c>
      <c r="P21" s="29">
        <f t="shared" si="1"/>
        <v>-5.6479782081438869E-2</v>
      </c>
    </row>
    <row r="22" spans="1:16" ht="18" customHeight="1" x14ac:dyDescent="0.2">
      <c r="A22" s="197"/>
      <c r="B22" s="37" t="s">
        <v>67</v>
      </c>
      <c r="C22" s="38"/>
      <c r="D22" s="38">
        <f ca="1">9.55919646869183*OFFSET(D$112,MATCH($N$1,$C$112:$C$113,0)-1,0)</f>
        <v>9.5591964686918303</v>
      </c>
      <c r="E22" s="38">
        <f ca="1">8.97777150877432*OFFSET(E$112,MATCH($N$1,$C$112:$C$113,0)-1,0)</f>
        <v>8.9777715087743193</v>
      </c>
      <c r="F22" s="38">
        <f ca="1">7.68076828707735*OFFSET(F$112,MATCH($N$1,$C$112:$C$113,0)-1,0)</f>
        <v>7.6807682870773499</v>
      </c>
      <c r="G22" s="38">
        <f ca="1">8.93805708463189*OFFSET(G$112,MATCH($N$1,$C$112:$C$113,0)-1,0)</f>
        <v>8.9380570846318896</v>
      </c>
      <c r="H22" s="38">
        <f ca="1">6.89625270658375*OFFSET(H$112,MATCH($N$1,$C$112:$C$113,0)-1,0)</f>
        <v>6.8962527065837502</v>
      </c>
      <c r="I22" s="38">
        <f ca="1">8.30593735572045*OFFSET(I$112,MATCH($N$1,$C$112:$C$113,0)-1,0)</f>
        <v>8.3059373557204506</v>
      </c>
      <c r="J22" s="38">
        <f ca="1">8.79306559415394*OFFSET(J$112,MATCH($N$1,$C$112:$C$113,0)-1,0)</f>
        <v>8.7930655941539406</v>
      </c>
      <c r="K22" s="38">
        <f ca="1">8.67701418492001*OFFSET(K$112,MATCH($N$1,$C$112:$C$113,0)-1,0)</f>
        <v>8.6770141849200098</v>
      </c>
      <c r="L22" s="38">
        <f ca="1">8.6333160541534*OFFSET(L$112,MATCH($N$1,$C$112:$C$113,0)-1,0)</f>
        <v>8.6333160541534006</v>
      </c>
      <c r="M22" s="38">
        <f ca="1">5.40162276434765*OFFSET(M$112,MATCH($N$1,$C$112:$C$113,0)-1,0)</f>
        <v>5.4016227643476498</v>
      </c>
      <c r="N22" s="38">
        <v>6.1132246525251546</v>
      </c>
      <c r="O22" s="29">
        <f t="shared" ca="1" si="0"/>
        <v>-0.36048760243111255</v>
      </c>
      <c r="P22" s="29">
        <f t="shared" ca="1" si="1"/>
        <v>-0.3047675367519691</v>
      </c>
    </row>
    <row r="23" spans="1:16" ht="18" customHeight="1" x14ac:dyDescent="0.2">
      <c r="A23" s="197"/>
      <c r="B23" s="37" t="s">
        <v>11</v>
      </c>
      <c r="C23" s="38"/>
      <c r="D23" s="38">
        <f ca="1">9.47634793708404*OFFSET(D$112,MATCH($N$1,$C$112:$C$113,0)-1,0)</f>
        <v>9.4763479370840393</v>
      </c>
      <c r="E23" s="38">
        <f ca="1">8.92260863567282*OFFSET(E$112,MATCH($N$1,$C$112:$C$113,0)-1,0)</f>
        <v>8.9226086356728196</v>
      </c>
      <c r="F23" s="38">
        <f ca="1">8.41543403570946*OFFSET(F$112,MATCH($N$1,$C$112:$C$113,0)-1,0)</f>
        <v>8.4154340357094597</v>
      </c>
      <c r="G23" s="38">
        <f ca="1">8.52640536819672*OFFSET(G$112,MATCH($N$1,$C$112:$C$113,0)-1,0)</f>
        <v>8.5264053681967198</v>
      </c>
      <c r="H23" s="38">
        <f ca="1">6.7825287692801*OFFSET(H$112,MATCH($N$1,$C$112:$C$113,0)-1,0)</f>
        <v>6.7825287692801002</v>
      </c>
      <c r="I23" s="38">
        <f ca="1">7.52040837237523*OFFSET(I$112,MATCH($N$1,$C$112:$C$113,0)-1,0)</f>
        <v>7.52040837237523</v>
      </c>
      <c r="J23" s="38">
        <f ca="1">8.13019516072976*OFFSET(J$112,MATCH($N$1,$C$112:$C$113,0)-1,0)</f>
        <v>8.1301951607297607</v>
      </c>
      <c r="K23" s="38">
        <f ca="1">8.31148692307359*OFFSET(K$112,MATCH($N$1,$C$112:$C$113,0)-1,0)</f>
        <v>8.3114869230735895</v>
      </c>
      <c r="L23" s="38">
        <f ca="1">8.32920405813883*OFFSET(L$112,MATCH($N$1,$C$112:$C$113,0)-1,0)</f>
        <v>8.3292040581388296</v>
      </c>
      <c r="M23" s="38">
        <f ca="1">5.5845919081911*OFFSET(M$112,MATCH($N$1,$C$112:$C$113,0)-1,0)</f>
        <v>5.5845919081910997</v>
      </c>
      <c r="N23" s="38">
        <v>6.3265049410158785</v>
      </c>
      <c r="O23" s="29">
        <f t="shared" ca="1" si="0"/>
        <v>-0.33238996889738487</v>
      </c>
      <c r="P23" s="29">
        <f t="shared" ca="1" si="1"/>
        <v>-0.2218507900555716</v>
      </c>
    </row>
    <row r="24" spans="1:16" ht="18" customHeight="1" x14ac:dyDescent="0.2">
      <c r="A24" s="197"/>
      <c r="B24" s="37" t="s">
        <v>12</v>
      </c>
      <c r="C24" s="38"/>
      <c r="D24" s="38">
        <f ca="1">1.81593135354012*OFFSET(D$112,MATCH($N$1,$C$112:$C$113,0)-1,0)</f>
        <v>1.81593135354012</v>
      </c>
      <c r="E24" s="38">
        <f ca="1">1.3441431792166*OFFSET(E$112,MATCH($N$1,$C$112:$C$113,0)-1,0)</f>
        <v>1.3441431792166001</v>
      </c>
      <c r="F24" s="38">
        <f ca="1">0.576334192383792*OFFSET(F$112,MATCH($N$1,$C$112:$C$113,0)-1,0)</f>
        <v>0.57633419238379202</v>
      </c>
      <c r="G24" s="38">
        <f ca="1">1.05768741743762*OFFSET(G$112,MATCH($N$1,$C$112:$C$113,0)-1,0)</f>
        <v>1.0576874174376201</v>
      </c>
      <c r="H24" s="38">
        <f ca="1">0.512005306774839*OFFSET(H$112,MATCH($N$1,$C$112:$C$113,0)-1,0)</f>
        <v>0.51200530677483902</v>
      </c>
      <c r="I24" s="38">
        <f ca="1">1.36870831096522*OFFSET(I$112,MATCH($N$1,$C$112:$C$113,0)-1,0)</f>
        <v>1.3687083109652201</v>
      </c>
      <c r="J24" s="38">
        <f ca="1">1.46998826017733*OFFSET(J$112,MATCH($N$1,$C$112:$C$113,0)-1,0)</f>
        <v>1.46998826017733</v>
      </c>
      <c r="K24" s="38">
        <f ca="1">0.765303624938746*OFFSET(K$112,MATCH($N$1,$C$112:$C$113,0)-1,0)</f>
        <v>0.76530362493874604</v>
      </c>
      <c r="L24" s="38">
        <f ca="1">0.557262725442807*OFFSET(L$112,MATCH($N$1,$C$112:$C$113,0)-1,0)</f>
        <v>0.55726272544280697</v>
      </c>
      <c r="M24" s="38">
        <f ca="1">1.11390652606037*OFFSET(M$112,MATCH($N$1,$C$112:$C$113,0)-1,0)</f>
        <v>1.11390652606037</v>
      </c>
      <c r="N24" s="38">
        <v>0.65626264834410852</v>
      </c>
      <c r="O24" s="29">
        <f t="shared" ca="1" si="0"/>
        <v>-0.63860822873907741</v>
      </c>
      <c r="P24" s="29">
        <f t="shared" ca="1" si="1"/>
        <v>-0.55355925885765833</v>
      </c>
    </row>
    <row r="25" spans="1:16" ht="18" customHeight="1" x14ac:dyDescent="0.2">
      <c r="A25" s="197"/>
      <c r="B25" s="37" t="s">
        <v>68</v>
      </c>
      <c r="C25" s="33"/>
      <c r="D25" s="33">
        <f ca="1">76.78*OFFSET(D$112,MATCH($N$1,$C$112:$C$113,0)-1,0)</f>
        <v>76.78</v>
      </c>
      <c r="E25" s="33">
        <f ca="1">63.99*OFFSET(E$112,MATCH($N$1,$C$112:$C$113,0)-1,0)</f>
        <v>63.99</v>
      </c>
      <c r="F25" s="33">
        <f ca="1">59.91*OFFSET(F$112,MATCH($N$1,$C$112:$C$113,0)-1,0)</f>
        <v>59.91</v>
      </c>
      <c r="G25" s="33">
        <f ca="1">74.22*OFFSET(G$112,MATCH($N$1,$C$112:$C$113,0)-1,0)</f>
        <v>74.22</v>
      </c>
      <c r="H25" s="33">
        <f ca="1">53.49*OFFSET(H$112,MATCH($N$1,$C$112:$C$113,0)-1,0)</f>
        <v>53.49</v>
      </c>
      <c r="I25" s="33">
        <f ca="1">74.96*OFFSET(I$112,MATCH($N$1,$C$112:$C$113,0)-1,0)</f>
        <v>74.959999999999994</v>
      </c>
      <c r="J25" s="33">
        <f ca="1">91.04*OFFSET(J$112,MATCH($N$1,$C$112:$C$113,0)-1,0)</f>
        <v>91.04</v>
      </c>
      <c r="K25" s="33">
        <f ca="1">73.48*OFFSET(K$112,MATCH($N$1,$C$112:$C$113,0)-1,0)</f>
        <v>73.48</v>
      </c>
      <c r="L25" s="33">
        <f ca="1">85.86*OFFSET(L$112,MATCH($N$1,$C$112:$C$113,0)-1,0)</f>
        <v>85.86</v>
      </c>
      <c r="M25" s="33">
        <f ca="1">48.85*OFFSET(M$112,MATCH($N$1,$C$112:$C$113,0)-1,0)</f>
        <v>48.85</v>
      </c>
      <c r="N25" s="33">
        <v>57.99</v>
      </c>
      <c r="O25" s="29">
        <f t="shared" ca="1" si="0"/>
        <v>-0.24472518885126335</v>
      </c>
      <c r="P25" s="29">
        <f t="shared" ca="1" si="1"/>
        <v>-0.36302724077328646</v>
      </c>
    </row>
    <row r="26" spans="1:16" ht="18" customHeight="1" x14ac:dyDescent="0.2">
      <c r="A26" s="198"/>
      <c r="B26" s="37" t="s">
        <v>69</v>
      </c>
      <c r="C26" s="33"/>
      <c r="D26" s="33">
        <f ca="1">14.59*OFFSET(D$112,MATCH($N$1,$C$112:$C$113,0)-1,0)</f>
        <v>14.59</v>
      </c>
      <c r="E26" s="33">
        <f ca="1">9.59*OFFSET(E$112,MATCH($N$1,$C$112:$C$113,0)-1,0)</f>
        <v>9.59</v>
      </c>
      <c r="F26" s="33">
        <f ca="1">4.5*OFFSET(F$112,MATCH($N$1,$C$112:$C$113,0)-1,0)</f>
        <v>4.5</v>
      </c>
      <c r="G26" s="33">
        <f ca="1">8.8*OFFSET(G$112,MATCH($N$1,$C$112:$C$113,0)-1,0)</f>
        <v>8.8000000000000007</v>
      </c>
      <c r="H26" s="33">
        <f ca="1">3.95*OFFSET(H$112,MATCH($N$1,$C$112:$C$113,0)-1,0)</f>
        <v>3.95</v>
      </c>
      <c r="I26" s="33">
        <f ca="1">12.35*OFFSET(I$112,MATCH($N$1,$C$112:$C$113,0)-1,0)</f>
        <v>12.35</v>
      </c>
      <c r="J26" s="33">
        <f ca="1">15.24*OFFSET(J$112,MATCH($N$1,$C$112:$C$113,0)-1,0)</f>
        <v>15.24</v>
      </c>
      <c r="K26" s="33">
        <f ca="1">6.47*OFFSET(K$112,MATCH($N$1,$C$112:$C$113,0)-1,0)</f>
        <v>6.47</v>
      </c>
      <c r="L26" s="33">
        <f ca="1">5.53*OFFSET(L$112,MATCH($N$1,$C$112:$C$113,0)-1,0)</f>
        <v>5.53</v>
      </c>
      <c r="M26" s="33">
        <f ca="1">10.08*OFFSET(M$112,MATCH($N$1,$C$112:$C$113,0)-1,0)</f>
        <v>10.08</v>
      </c>
      <c r="N26" s="33">
        <v>6.21</v>
      </c>
      <c r="O26" s="34">
        <f t="shared" ca="1" si="0"/>
        <v>-0.57436600411240568</v>
      </c>
      <c r="P26" s="34">
        <f t="shared" ca="1" si="1"/>
        <v>-0.59251968503937014</v>
      </c>
    </row>
    <row r="27" spans="1:16" ht="18" customHeight="1" x14ac:dyDescent="0.2">
      <c r="A27" s="187" t="s">
        <v>30</v>
      </c>
      <c r="B27" s="35" t="s">
        <v>63</v>
      </c>
      <c r="C27" s="36"/>
      <c r="D27" s="36">
        <f ca="1">249.9*OFFSET(D$112,MATCH($N$1,$C$112:$C$113,0)-1,0)</f>
        <v>249.9</v>
      </c>
      <c r="E27" s="36">
        <f ca="1">226.3*OFFSET(E$112,MATCH($N$1,$C$112:$C$113,0)-1,0)</f>
        <v>226.3</v>
      </c>
      <c r="F27" s="36">
        <f ca="1">171.9*OFFSET(F$112,MATCH($N$1,$C$112:$C$113,0)-1,0)</f>
        <v>171.9</v>
      </c>
      <c r="G27" s="36">
        <f ca="1">197.4*OFFSET(G$112,MATCH($N$1,$C$112:$C$113,0)-1,0)</f>
        <v>197.4</v>
      </c>
      <c r="H27" s="36">
        <f ca="1">139.3*OFFSET(H$112,MATCH($N$1,$C$112:$C$113,0)-1,0)</f>
        <v>139.30000000000001</v>
      </c>
      <c r="I27" s="36">
        <f ca="1">213.7*OFFSET(I$112,MATCH($N$1,$C$112:$C$113,0)-1,0)</f>
        <v>213.7</v>
      </c>
      <c r="J27" s="36">
        <f ca="1">201.9*OFFSET(J$112,MATCH($N$1,$C$112:$C$113,0)-1,0)</f>
        <v>201.9</v>
      </c>
      <c r="K27" s="36">
        <f ca="1">195.4*OFFSET(K$112,MATCH($N$1,$C$112:$C$113,0)-1,0)</f>
        <v>195.4</v>
      </c>
      <c r="L27" s="36">
        <f ca="1">200.4*OFFSET(L$112,MATCH($N$1,$C$112:$C$113,0)-1,0)</f>
        <v>200.4</v>
      </c>
      <c r="M27" s="36">
        <f ca="1">98.9*OFFSET(M$112,MATCH($N$1,$C$112:$C$113,0)-1,0)</f>
        <v>98.9</v>
      </c>
      <c r="N27" s="36">
        <v>115.8</v>
      </c>
      <c r="O27" s="29">
        <f t="shared" ca="1" si="0"/>
        <v>-0.5366146458583434</v>
      </c>
      <c r="P27" s="29">
        <f t="shared" ca="1" si="1"/>
        <v>-0.42644873699851416</v>
      </c>
    </row>
    <row r="28" spans="1:16" ht="18" customHeight="1" x14ac:dyDescent="0.2">
      <c r="A28" s="199"/>
      <c r="B28" s="37" t="s">
        <v>70</v>
      </c>
      <c r="C28" s="33"/>
      <c r="D28" s="33">
        <f ca="1">45.3*OFFSET(D$112,MATCH($N$1,$C$112:$C$113,0)-1,0)</f>
        <v>45.3</v>
      </c>
      <c r="E28" s="33">
        <f ca="1">32.5*OFFSET(E$112,MATCH($N$1,$C$112:$C$113,0)-1,0)</f>
        <v>32.5</v>
      </c>
      <c r="F28" s="33">
        <f ca="1">29.3*OFFSET(F$112,MATCH($N$1,$C$112:$C$113,0)-1,0)</f>
        <v>29.3</v>
      </c>
      <c r="G28" s="33">
        <f ca="1">14.3*OFFSET(G$112,MATCH($N$1,$C$112:$C$113,0)-1,0)</f>
        <v>14.3</v>
      </c>
      <c r="H28" s="33">
        <f ca="1">8*OFFSET(H$112,MATCH($N$1,$C$112:$C$113,0)-1,0)</f>
        <v>8</v>
      </c>
      <c r="I28" s="33">
        <f ca="1">15*OFFSET(I$112,MATCH($N$1,$C$112:$C$113,0)-1,0)</f>
        <v>15</v>
      </c>
      <c r="J28" s="33">
        <f ca="1">18.5*OFFSET(J$112,MATCH($N$1,$C$112:$C$113,0)-1,0)</f>
        <v>18.5</v>
      </c>
      <c r="K28" s="33">
        <f ca="1">9*OFFSET(K$112,MATCH($N$1,$C$112:$C$113,0)-1,0)</f>
        <v>9</v>
      </c>
      <c r="L28" s="33">
        <f ca="1">5.9*OFFSET(L$112,MATCH($N$1,$C$112:$C$113,0)-1,0)</f>
        <v>5.9</v>
      </c>
      <c r="M28" s="33">
        <f ca="1">23.7*OFFSET(M$112,MATCH($N$1,$C$112:$C$113,0)-1,0)</f>
        <v>23.7</v>
      </c>
      <c r="N28" s="33">
        <v>16.5</v>
      </c>
      <c r="O28" s="29">
        <f t="shared" ca="1" si="0"/>
        <v>-0.63576158940397354</v>
      </c>
      <c r="P28" s="29">
        <f t="shared" ca="1" si="1"/>
        <v>-0.10810810810810811</v>
      </c>
    </row>
    <row r="29" spans="1:16" ht="18" customHeight="1" x14ac:dyDescent="0.2">
      <c r="A29" s="199"/>
      <c r="B29" s="42" t="s">
        <v>71</v>
      </c>
      <c r="C29" s="43"/>
      <c r="D29" s="43">
        <f ca="1">295.2*OFFSET(D$112,MATCH($N$1,$C$112:$C$113,0)-1,0)</f>
        <v>295.2</v>
      </c>
      <c r="E29" s="43">
        <f ca="1">258.7*OFFSET(E$112,MATCH($N$1,$C$112:$C$113,0)-1,0)</f>
        <v>258.7</v>
      </c>
      <c r="F29" s="43">
        <f ca="1">201.3*OFFSET(F$112,MATCH($N$1,$C$112:$C$113,0)-1,0)</f>
        <v>201.3</v>
      </c>
      <c r="G29" s="43">
        <f ca="1">211.6*OFFSET(G$112,MATCH($N$1,$C$112:$C$113,0)-1,0)</f>
        <v>211.6</v>
      </c>
      <c r="H29" s="43">
        <f ca="1">147.4*OFFSET(H$112,MATCH($N$1,$C$112:$C$113,0)-1,0)</f>
        <v>147.4</v>
      </c>
      <c r="I29" s="43">
        <f ca="1">228.7*OFFSET(I$112,MATCH($N$1,$C$112:$C$113,0)-1,0)</f>
        <v>228.7</v>
      </c>
      <c r="J29" s="43">
        <f ca="1">220.4*OFFSET(J$112,MATCH($N$1,$C$112:$C$113,0)-1,0)</f>
        <v>220.4</v>
      </c>
      <c r="K29" s="43">
        <f ca="1">204.4*OFFSET(K$112,MATCH($N$1,$C$112:$C$113,0)-1,0)</f>
        <v>204.4</v>
      </c>
      <c r="L29" s="43">
        <f ca="1">206.3*OFFSET(L$112,MATCH($N$1,$C$112:$C$113,0)-1,0)</f>
        <v>206.3</v>
      </c>
      <c r="M29" s="43">
        <f ca="1">122.7*OFFSET(M$112,MATCH($N$1,$C$112:$C$113,0)-1,0)</f>
        <v>122.7</v>
      </c>
      <c r="N29" s="43">
        <v>132.30000000000001</v>
      </c>
      <c r="O29" s="29">
        <f t="shared" ca="1" si="0"/>
        <v>-0.55182926829268286</v>
      </c>
      <c r="P29" s="29">
        <f t="shared" ca="1" si="1"/>
        <v>-0.39972776769509977</v>
      </c>
    </row>
    <row r="30" spans="1:16" ht="18" customHeight="1" x14ac:dyDescent="0.2">
      <c r="A30" s="199"/>
      <c r="B30" s="37" t="s">
        <v>72</v>
      </c>
      <c r="C30" s="33"/>
      <c r="D30" s="33">
        <f ca="1">70.8*OFFSET(D$112,MATCH($N$1,$C$112:$C$113,0)-1,0)</f>
        <v>70.8</v>
      </c>
      <c r="E30" s="33">
        <f ca="1">69.5*OFFSET(E$112,MATCH($N$1,$C$112:$C$113,0)-1,0)</f>
        <v>69.5</v>
      </c>
      <c r="F30" s="33">
        <f ca="1">57.9*OFFSET(F$112,MATCH($N$1,$C$112:$C$113,0)-1,0)</f>
        <v>57.9</v>
      </c>
      <c r="G30" s="33">
        <f ca="1">52.3*OFFSET(G$112,MATCH($N$1,$C$112:$C$113,0)-1,0)</f>
        <v>52.3</v>
      </c>
      <c r="H30" s="33">
        <f ca="1">32.7*OFFSET(H$112,MATCH($N$1,$C$112:$C$113,0)-1,0)</f>
        <v>32.700000000000003</v>
      </c>
      <c r="I30" s="33">
        <f ca="1">39.5*OFFSET(I$112,MATCH($N$1,$C$112:$C$113,0)-1,0)</f>
        <v>39.5</v>
      </c>
      <c r="J30" s="33">
        <f ca="1">42.6*OFFSET(J$112,MATCH($N$1,$C$112:$C$113,0)-1,0)</f>
        <v>42.6</v>
      </c>
      <c r="K30" s="33">
        <f ca="1">50.4*OFFSET(K$112,MATCH($N$1,$C$112:$C$113,0)-1,0)</f>
        <v>50.4</v>
      </c>
      <c r="L30" s="33">
        <f ca="1">50.3*OFFSET(L$112,MATCH($N$1,$C$112:$C$113,0)-1,0)</f>
        <v>50.3</v>
      </c>
      <c r="M30" s="33">
        <f ca="1">27.9*OFFSET(M$112,MATCH($N$1,$C$112:$C$113,0)-1,0)</f>
        <v>27.9</v>
      </c>
      <c r="N30" s="33">
        <v>35</v>
      </c>
      <c r="O30" s="29">
        <f t="shared" ca="1" si="0"/>
        <v>-0.50564971751412424</v>
      </c>
      <c r="P30" s="29">
        <f t="shared" ca="1" si="1"/>
        <v>-0.17840375586854462</v>
      </c>
    </row>
    <row r="31" spans="1:16" ht="18" customHeight="1" x14ac:dyDescent="0.2">
      <c r="A31" s="199"/>
      <c r="B31" s="37" t="s">
        <v>73</v>
      </c>
      <c r="C31" s="33"/>
      <c r="D31" s="33">
        <f ca="1">72.8*OFFSET(D$112,MATCH($N$1,$C$112:$C$113,0)-1,0)</f>
        <v>72.8</v>
      </c>
      <c r="E31" s="33">
        <f ca="1">61*OFFSET(E$112,MATCH($N$1,$C$112:$C$113,0)-1,0)</f>
        <v>61</v>
      </c>
      <c r="F31" s="33">
        <f ca="1">45.2*OFFSET(F$112,MATCH($N$1,$C$112:$C$113,0)-1,0)</f>
        <v>45.2</v>
      </c>
      <c r="G31" s="33">
        <f ca="1">38.1*OFFSET(G$112,MATCH($N$1,$C$112:$C$113,0)-1,0)</f>
        <v>38.1</v>
      </c>
      <c r="H31" s="33">
        <f ca="1">33.6*OFFSET(H$112,MATCH($N$1,$C$112:$C$113,0)-1,0)</f>
        <v>33.6</v>
      </c>
      <c r="I31" s="33">
        <f ca="1">55.3*OFFSET(I$112,MATCH($N$1,$C$112:$C$113,0)-1,0)</f>
        <v>55.3</v>
      </c>
      <c r="J31" s="33">
        <f ca="1">54.8*OFFSET(J$112,MATCH($N$1,$C$112:$C$113,0)-1,0)</f>
        <v>54.8</v>
      </c>
      <c r="K31" s="33">
        <f ca="1">52.7*OFFSET(K$112,MATCH($N$1,$C$112:$C$113,0)-1,0)</f>
        <v>52.7</v>
      </c>
      <c r="L31" s="33">
        <f ca="1">66.4*OFFSET(L$112,MATCH($N$1,$C$112:$C$113,0)-1,0)</f>
        <v>66.400000000000006</v>
      </c>
      <c r="M31" s="33">
        <f ca="1">29.5*OFFSET(M$112,MATCH($N$1,$C$112:$C$113,0)-1,0)</f>
        <v>29.5</v>
      </c>
      <c r="N31" s="33">
        <v>33.4</v>
      </c>
      <c r="O31" s="29">
        <f t="shared" ca="1" si="0"/>
        <v>-0.54120879120879117</v>
      </c>
      <c r="P31" s="29">
        <f t="shared" ca="1" si="1"/>
        <v>-0.39051094890510946</v>
      </c>
    </row>
    <row r="32" spans="1:16" ht="18" customHeight="1" x14ac:dyDescent="0.2">
      <c r="A32" s="199"/>
      <c r="B32" s="37" t="s">
        <v>74</v>
      </c>
      <c r="C32" s="33"/>
      <c r="D32" s="33">
        <f ca="1">39.5*OFFSET(D$112,MATCH($N$1,$C$112:$C$113,0)-1,0)</f>
        <v>39.5</v>
      </c>
      <c r="E32" s="33">
        <f ca="1">45.1*OFFSET(E$112,MATCH($N$1,$C$112:$C$113,0)-1,0)</f>
        <v>45.1</v>
      </c>
      <c r="F32" s="33">
        <f ca="1">34*OFFSET(F$112,MATCH($N$1,$C$112:$C$113,0)-1,0)</f>
        <v>34</v>
      </c>
      <c r="G32" s="33">
        <f ca="1">43*OFFSET(G$112,MATCH($N$1,$C$112:$C$113,0)-1,0)</f>
        <v>43</v>
      </c>
      <c r="H32" s="33">
        <f ca="1">29.5*OFFSET(H$112,MATCH($N$1,$C$112:$C$113,0)-1,0)</f>
        <v>29.5</v>
      </c>
      <c r="I32" s="33">
        <f ca="1">50.6*OFFSET(I$112,MATCH($N$1,$C$112:$C$113,0)-1,0)</f>
        <v>50.6</v>
      </c>
      <c r="J32" s="33">
        <f ca="1">38.6*OFFSET(J$112,MATCH($N$1,$C$112:$C$113,0)-1,0)</f>
        <v>38.6</v>
      </c>
      <c r="K32" s="33">
        <f ca="1">35.5*OFFSET(K$112,MATCH($N$1,$C$112:$C$113,0)-1,0)</f>
        <v>35.5</v>
      </c>
      <c r="L32" s="33">
        <f ca="1">25.6*OFFSET(L$112,MATCH($N$1,$C$112:$C$113,0)-1,0)</f>
        <v>25.6</v>
      </c>
      <c r="M32" s="33">
        <f ca="1">14.2*OFFSET(M$112,MATCH($N$1,$C$112:$C$113,0)-1,0)</f>
        <v>14.2</v>
      </c>
      <c r="N32" s="33">
        <v>16.600000000000001</v>
      </c>
      <c r="O32" s="29">
        <f t="shared" ca="1" si="0"/>
        <v>-0.57974683544303796</v>
      </c>
      <c r="P32" s="29">
        <f t="shared" ca="1" si="1"/>
        <v>-0.56994818652849744</v>
      </c>
    </row>
    <row r="33" spans="1:16" ht="18" customHeight="1" x14ac:dyDescent="0.2">
      <c r="A33" s="199"/>
      <c r="B33" s="37" t="s">
        <v>75</v>
      </c>
      <c r="C33" s="33"/>
      <c r="D33" s="33">
        <f ca="1">183.2*OFFSET(D$112,MATCH($N$1,$C$112:$C$113,0)-1,0)</f>
        <v>183.2</v>
      </c>
      <c r="E33" s="33">
        <f ca="1">175.6*OFFSET(E$112,MATCH($N$1,$C$112:$C$113,0)-1,0)</f>
        <v>175.6</v>
      </c>
      <c r="F33" s="33">
        <f ca="1">137.1*OFFSET(F$112,MATCH($N$1,$C$112:$C$113,0)-1,0)</f>
        <v>137.1</v>
      </c>
      <c r="G33" s="33">
        <f ca="1">133.4*OFFSET(G$112,MATCH($N$1,$C$112:$C$113,0)-1,0)</f>
        <v>133.4</v>
      </c>
      <c r="H33" s="33">
        <f ca="1">95.9*OFFSET(H$112,MATCH($N$1,$C$112:$C$113,0)-1,0)</f>
        <v>95.9</v>
      </c>
      <c r="I33" s="33">
        <f ca="1">145.3*OFFSET(I$112,MATCH($N$1,$C$112:$C$113,0)-1,0)</f>
        <v>145.30000000000001</v>
      </c>
      <c r="J33" s="33">
        <f ca="1">136*OFFSET(J$112,MATCH($N$1,$C$112:$C$113,0)-1,0)</f>
        <v>136</v>
      </c>
      <c r="K33" s="33">
        <f ca="1">138.5*OFFSET(K$112,MATCH($N$1,$C$112:$C$113,0)-1,0)</f>
        <v>138.5</v>
      </c>
      <c r="L33" s="33">
        <f ca="1">142.3*OFFSET(L$112,MATCH($N$1,$C$112:$C$113,0)-1,0)</f>
        <v>142.30000000000001</v>
      </c>
      <c r="M33" s="33">
        <f ca="1">71.6*OFFSET(M$112,MATCH($N$1,$C$112:$C$113,0)-1,0)</f>
        <v>71.599999999999994</v>
      </c>
      <c r="N33" s="33">
        <v>85</v>
      </c>
      <c r="O33" s="29">
        <f t="shared" ca="1" si="0"/>
        <v>-0.53602620087336239</v>
      </c>
      <c r="P33" s="29">
        <f t="shared" ca="1" si="1"/>
        <v>-0.375</v>
      </c>
    </row>
    <row r="34" spans="1:16" ht="18" customHeight="1" x14ac:dyDescent="0.2">
      <c r="A34" s="199"/>
      <c r="B34" s="37" t="s">
        <v>76</v>
      </c>
      <c r="C34" s="33"/>
      <c r="D34" s="33">
        <f ca="1">64.5*OFFSET(D$112,MATCH($N$1,$C$112:$C$113,0)-1,0)</f>
        <v>64.5</v>
      </c>
      <c r="E34" s="33">
        <f ca="1">49.3*OFFSET(E$112,MATCH($N$1,$C$112:$C$113,0)-1,0)</f>
        <v>49.3</v>
      </c>
      <c r="F34" s="33">
        <f ca="1">51.3*OFFSET(F$112,MATCH($N$1,$C$112:$C$113,0)-1,0)</f>
        <v>51.3</v>
      </c>
      <c r="G34" s="33">
        <f ca="1">54.9*OFFSET(G$112,MATCH($N$1,$C$112:$C$113,0)-1,0)</f>
        <v>54.9</v>
      </c>
      <c r="H34" s="33">
        <f ca="1">41.1*OFFSET(H$112,MATCH($N$1,$C$112:$C$113,0)-1,0)</f>
        <v>41.1</v>
      </c>
      <c r="I34" s="33">
        <f ca="1">48.2*OFFSET(I$112,MATCH($N$1,$C$112:$C$113,0)-1,0)</f>
        <v>48.2</v>
      </c>
      <c r="J34" s="33">
        <f ca="1">50.7*OFFSET(J$112,MATCH($N$1,$C$112:$C$113,0)-1,0)</f>
        <v>50.7</v>
      </c>
      <c r="K34" s="33">
        <f ca="1">48.6*OFFSET(K$112,MATCH($N$1,$C$112:$C$113,0)-1,0)</f>
        <v>48.6</v>
      </c>
      <c r="L34" s="33">
        <f ca="1">51*OFFSET(L$112,MATCH($N$1,$C$112:$C$113,0)-1,0)</f>
        <v>51</v>
      </c>
      <c r="M34" s="33">
        <f ca="1">30.7*OFFSET(M$112,MATCH($N$1,$C$112:$C$113,0)-1,0)</f>
        <v>30.7</v>
      </c>
      <c r="N34" s="33">
        <v>34.9</v>
      </c>
      <c r="O34" s="29">
        <f t="shared" ca="1" si="0"/>
        <v>-0.45891472868217059</v>
      </c>
      <c r="P34" s="29">
        <f t="shared" ca="1" si="1"/>
        <v>-0.31163708086785019</v>
      </c>
    </row>
    <row r="35" spans="1:16" ht="18" customHeight="1" x14ac:dyDescent="0.2">
      <c r="A35" s="199"/>
      <c r="B35" s="37" t="s">
        <v>77</v>
      </c>
      <c r="C35" s="33"/>
      <c r="D35" s="33">
        <f ca="1">247.7*OFFSET(D$112,MATCH($N$1,$C$112:$C$113,0)-1,0)</f>
        <v>247.7</v>
      </c>
      <c r="E35" s="33">
        <f ca="1">224.9*OFFSET(E$112,MATCH($N$1,$C$112:$C$113,0)-1,0)</f>
        <v>224.9</v>
      </c>
      <c r="F35" s="33">
        <f ca="1">188.4*OFFSET(F$112,MATCH($N$1,$C$112:$C$113,0)-1,0)</f>
        <v>188.4</v>
      </c>
      <c r="G35" s="33">
        <f ca="1">188.3*OFFSET(G$112,MATCH($N$1,$C$112:$C$113,0)-1,0)</f>
        <v>188.3</v>
      </c>
      <c r="H35" s="33">
        <f ca="1">137*OFFSET(H$112,MATCH($N$1,$C$112:$C$113,0)-1,0)</f>
        <v>137</v>
      </c>
      <c r="I35" s="33">
        <f ca="1">193.5*OFFSET(I$112,MATCH($N$1,$C$112:$C$113,0)-1,0)</f>
        <v>193.5</v>
      </c>
      <c r="J35" s="33">
        <f ca="1">186.7*OFFSET(J$112,MATCH($N$1,$C$112:$C$113,0)-1,0)</f>
        <v>186.7</v>
      </c>
      <c r="K35" s="33">
        <f ca="1">187.2*OFFSET(K$112,MATCH($N$1,$C$112:$C$113,0)-1,0)</f>
        <v>187.2</v>
      </c>
      <c r="L35" s="33">
        <f ca="1">193.3*OFFSET(L$112,MATCH($N$1,$C$112:$C$113,0)-1,0)</f>
        <v>193.3</v>
      </c>
      <c r="M35" s="33">
        <f ca="1">102.3*OFFSET(M$112,MATCH($N$1,$C$112:$C$113,0)-1,0)</f>
        <v>102.3</v>
      </c>
      <c r="N35" s="33">
        <v>119.9</v>
      </c>
      <c r="O35" s="29">
        <f t="shared" ca="1" si="0"/>
        <v>-0.51594670972951151</v>
      </c>
      <c r="P35" s="29">
        <f t="shared" ca="1" si="1"/>
        <v>-0.35779325120514188</v>
      </c>
    </row>
    <row r="36" spans="1:16" ht="18" customHeight="1" x14ac:dyDescent="0.2">
      <c r="A36" s="199"/>
      <c r="B36" s="42" t="s">
        <v>78</v>
      </c>
      <c r="C36" s="43"/>
      <c r="D36" s="43">
        <f ca="1">120.3*OFFSET(D$112,MATCH($N$1,$C$112:$C$113,0)-1,0)</f>
        <v>120.3</v>
      </c>
      <c r="E36" s="43">
        <f ca="1">94.9*OFFSET(E$112,MATCH($N$1,$C$112:$C$113,0)-1,0)</f>
        <v>94.9</v>
      </c>
      <c r="F36" s="43">
        <f ca="1">58.1*OFFSET(F$112,MATCH($N$1,$C$112:$C$113,0)-1,0)</f>
        <v>58.1</v>
      </c>
      <c r="G36" s="43">
        <f ca="1">61.5*OFFSET(G$112,MATCH($N$1,$C$112:$C$113,0)-1,0)</f>
        <v>61.5</v>
      </c>
      <c r="H36" s="43">
        <f ca="1">43.9*OFFSET(H$112,MATCH($N$1,$C$112:$C$113,0)-1,0)</f>
        <v>43.9</v>
      </c>
      <c r="I36" s="43">
        <f ca="1">90.5*OFFSET(I$112,MATCH($N$1,$C$112:$C$113,0)-1,0)</f>
        <v>90.5</v>
      </c>
      <c r="J36" s="43">
        <f ca="1">88.6*OFFSET(J$112,MATCH($N$1,$C$112:$C$113,0)-1,0)</f>
        <v>88.6</v>
      </c>
      <c r="K36" s="43">
        <f ca="1">69.9*OFFSET(K$112,MATCH($N$1,$C$112:$C$113,0)-1,0)</f>
        <v>69.900000000000006</v>
      </c>
      <c r="L36" s="43">
        <f ca="1">79.3*OFFSET(L$112,MATCH($N$1,$C$112:$C$113,0)-1,0)</f>
        <v>79.3</v>
      </c>
      <c r="M36" s="43">
        <f ca="1">49.9*OFFSET(M$112,MATCH($N$1,$C$112:$C$113,0)-1,0)</f>
        <v>49.9</v>
      </c>
      <c r="N36" s="43">
        <v>45.8</v>
      </c>
      <c r="O36" s="29">
        <f t="shared" ca="1" si="0"/>
        <v>-0.61928512053200335</v>
      </c>
      <c r="P36" s="29">
        <f t="shared" ca="1" si="1"/>
        <v>-0.48306997742663654</v>
      </c>
    </row>
    <row r="37" spans="1:16" ht="18" customHeight="1" x14ac:dyDescent="0.2">
      <c r="A37" s="199"/>
      <c r="B37" s="42" t="s">
        <v>79</v>
      </c>
      <c r="C37" s="43"/>
      <c r="D37" s="43">
        <f ca="1">47.5*OFFSET(D$112,MATCH($N$1,$C$112:$C$113,0)-1,0)</f>
        <v>47.5</v>
      </c>
      <c r="E37" s="43">
        <f ca="1">33.9*OFFSET(E$112,MATCH($N$1,$C$112:$C$113,0)-1,0)</f>
        <v>33.9</v>
      </c>
      <c r="F37" s="43">
        <f ca="1">12.9*OFFSET(F$112,MATCH($N$1,$C$112:$C$113,0)-1,0)</f>
        <v>12.9</v>
      </c>
      <c r="G37" s="43">
        <f ca="1">23.4*OFFSET(G$112,MATCH($N$1,$C$112:$C$113,0)-1,0)</f>
        <v>23.4</v>
      </c>
      <c r="H37" s="43">
        <f ca="1">10.3*OFFSET(H$112,MATCH($N$1,$C$112:$C$113,0)-1,0)</f>
        <v>10.3</v>
      </c>
      <c r="I37" s="43">
        <f ca="1">35.2*OFFSET(I$112,MATCH($N$1,$C$112:$C$113,0)-1,0)</f>
        <v>35.200000000000003</v>
      </c>
      <c r="J37" s="43">
        <f ca="1">33.8*OFFSET(J$112,MATCH($N$1,$C$112:$C$113,0)-1,0)</f>
        <v>33.799999999999997</v>
      </c>
      <c r="K37" s="43">
        <f ca="1">17.2*OFFSET(K$112,MATCH($N$1,$C$112:$C$113,0)-1,0)</f>
        <v>17.2</v>
      </c>
      <c r="L37" s="43">
        <f ca="1">12.9*OFFSET(L$112,MATCH($N$1,$C$112:$C$113,0)-1,0)</f>
        <v>12.9</v>
      </c>
      <c r="M37" s="43">
        <f ca="1">20.4*OFFSET(M$112,MATCH($N$1,$C$112:$C$113,0)-1,0)</f>
        <v>20.399999999999999</v>
      </c>
      <c r="N37" s="43">
        <v>12.4</v>
      </c>
      <c r="O37" s="29">
        <f t="shared" ca="1" si="0"/>
        <v>-0.73894736842105269</v>
      </c>
      <c r="P37" s="29">
        <f t="shared" ca="1" si="1"/>
        <v>-0.63313609467455623</v>
      </c>
    </row>
    <row r="38" spans="1:16" ht="18" customHeight="1" x14ac:dyDescent="0.2">
      <c r="A38" s="199"/>
      <c r="B38" s="37" t="s">
        <v>80</v>
      </c>
      <c r="C38" s="33"/>
      <c r="D38" s="33">
        <f ca="1">7.5*OFFSET(D$112,MATCH($N$1,$C$112:$C$113,0)-1,0)</f>
        <v>7.5</v>
      </c>
      <c r="E38" s="33">
        <f ca="1">11.8*OFFSET(E$112,MATCH($N$1,$C$112:$C$113,0)-1,0)</f>
        <v>11.8</v>
      </c>
      <c r="F38" s="33">
        <f ca="1">4.9*OFFSET(F$112,MATCH($N$1,$C$112:$C$113,0)-1,0)</f>
        <v>4.9000000000000004</v>
      </c>
      <c r="G38" s="33">
        <f ca="1">8.6*OFFSET(G$112,MATCH($N$1,$C$112:$C$113,0)-1,0)</f>
        <v>8.6</v>
      </c>
      <c r="H38" s="33">
        <f ca="1">6.8*OFFSET(H$112,MATCH($N$1,$C$112:$C$113,0)-1,0)</f>
        <v>6.8</v>
      </c>
      <c r="I38" s="33">
        <f ca="1">7*OFFSET(I$112,MATCH($N$1,$C$112:$C$113,0)-1,0)</f>
        <v>7</v>
      </c>
      <c r="J38" s="33">
        <f ca="1">10.7*OFFSET(J$112,MATCH($N$1,$C$112:$C$113,0)-1,0)</f>
        <v>10.7</v>
      </c>
      <c r="K38" s="33">
        <f ca="1">5.8*OFFSET(K$112,MATCH($N$1,$C$112:$C$113,0)-1,0)</f>
        <v>5.8</v>
      </c>
      <c r="L38" s="33">
        <f ca="1">5.3*OFFSET(L$112,MATCH($N$1,$C$112:$C$113,0)-1,0)</f>
        <v>5.3</v>
      </c>
      <c r="M38" s="33">
        <f ca="1">4.9*OFFSET(M$112,MATCH($N$1,$C$112:$C$113,0)-1,0)</f>
        <v>4.9000000000000004</v>
      </c>
      <c r="N38" s="33"/>
      <c r="O38" s="29" t="str">
        <f t="shared" si="0"/>
        <v/>
      </c>
      <c r="P38" s="29" t="str">
        <f t="shared" si="1"/>
        <v/>
      </c>
    </row>
    <row r="39" spans="1:16" ht="18" customHeight="1" x14ac:dyDescent="0.2">
      <c r="A39" s="199"/>
      <c r="B39" s="37" t="s">
        <v>81</v>
      </c>
      <c r="C39" s="33"/>
      <c r="D39" s="33">
        <f ca="1">6.3*OFFSET(D$112,MATCH($N$1,$C$112:$C$113,0)-1,0)</f>
        <v>6.3</v>
      </c>
      <c r="E39" s="33">
        <f ca="1">2.9*OFFSET(E$112,MATCH($N$1,$C$112:$C$113,0)-1,0)</f>
        <v>2.9</v>
      </c>
      <c r="F39" s="33">
        <f ca="1">1.6*OFFSET(F$112,MATCH($N$1,$C$112:$C$113,0)-1,0)</f>
        <v>1.6</v>
      </c>
      <c r="G39" s="33">
        <f ca="1">2.4*OFFSET(G$112,MATCH($N$1,$C$112:$C$113,0)-1,0)</f>
        <v>2.4</v>
      </c>
      <c r="H39" s="33">
        <f ca="1">2.2*OFFSET(H$112,MATCH($N$1,$C$112:$C$113,0)-1,0)</f>
        <v>2.2000000000000002</v>
      </c>
      <c r="I39" s="33">
        <f ca="1">1.5*OFFSET(I$112,MATCH($N$1,$C$112:$C$113,0)-1,0)</f>
        <v>1.5</v>
      </c>
      <c r="J39" s="33">
        <f ca="1">1.5*OFFSET(J$112,MATCH($N$1,$C$112:$C$113,0)-1,0)</f>
        <v>1.5</v>
      </c>
      <c r="K39" s="33">
        <f ca="1">0.6*OFFSET(K$112,MATCH($N$1,$C$112:$C$113,0)-1,0)</f>
        <v>0.6</v>
      </c>
      <c r="L39" s="33">
        <f ca="1">3.1*OFFSET(L$112,MATCH($N$1,$C$112:$C$113,0)-1,0)</f>
        <v>3.1</v>
      </c>
      <c r="M39" s="33">
        <f ca="1">2*OFFSET(M$112,MATCH($N$1,$C$112:$C$113,0)-1,0)</f>
        <v>2</v>
      </c>
      <c r="N39" s="33"/>
      <c r="O39" s="29" t="str">
        <f t="shared" si="0"/>
        <v/>
      </c>
      <c r="P39" s="29" t="str">
        <f t="shared" si="1"/>
        <v/>
      </c>
    </row>
    <row r="40" spans="1:16" ht="18" customHeight="1" x14ac:dyDescent="0.2">
      <c r="A40" s="199"/>
      <c r="B40" s="37" t="s">
        <v>82</v>
      </c>
      <c r="C40" s="33"/>
      <c r="D40" s="33">
        <f ca="1">1*OFFSET(D$112,MATCH($N$1,$C$112:$C$113,0)-1,0)</f>
        <v>1</v>
      </c>
      <c r="E40" s="33">
        <f ca="1">0.4*OFFSET(E$112,MATCH($N$1,$C$112:$C$113,0)-1,0)</f>
        <v>0.4</v>
      </c>
      <c r="F40" s="33">
        <f ca="1">4.4*OFFSET(F$112,MATCH($N$1,$C$112:$C$113,0)-1,0)</f>
        <v>4.4000000000000004</v>
      </c>
      <c r="G40" s="33">
        <f ca="1">1.9*OFFSET(G$112,MATCH($N$1,$C$112:$C$113,0)-1,0)</f>
        <v>1.9</v>
      </c>
      <c r="H40" s="33">
        <f ca="1">2.1*OFFSET(H$112,MATCH($N$1,$C$112:$C$113,0)-1,0)</f>
        <v>2.1</v>
      </c>
      <c r="I40" s="33">
        <f ca="1">1.4*OFFSET(I$112,MATCH($N$1,$C$112:$C$113,0)-1,0)</f>
        <v>1.4</v>
      </c>
      <c r="J40" s="33">
        <f ca="1">20.4*OFFSET(J$112,MATCH($N$1,$C$112:$C$113,0)-1,0)</f>
        <v>20.399999999999999</v>
      </c>
      <c r="K40" s="33">
        <f ca="1">0.5*OFFSET(K$112,MATCH($N$1,$C$112:$C$113,0)-1,0)</f>
        <v>0.5</v>
      </c>
      <c r="L40" s="33">
        <f ca="1">0.5*OFFSET(L$112,MATCH($N$1,$C$112:$C$113,0)-1,0)</f>
        <v>0.5</v>
      </c>
      <c r="M40" s="33">
        <f ca="1">0.6*OFFSET(M$112,MATCH($N$1,$C$112:$C$113,0)-1,0)</f>
        <v>0.6</v>
      </c>
      <c r="N40" s="33"/>
      <c r="O40" s="29" t="str">
        <f t="shared" si="0"/>
        <v/>
      </c>
      <c r="P40" s="29" t="str">
        <f t="shared" si="1"/>
        <v/>
      </c>
    </row>
    <row r="41" spans="1:16" ht="18" customHeight="1" thickBot="1" x14ac:dyDescent="0.25">
      <c r="A41" s="200"/>
      <c r="B41" s="44" t="s">
        <v>83</v>
      </c>
      <c r="C41" s="45"/>
      <c r="D41" s="45">
        <f ca="1">32.5*OFFSET(D$112,MATCH($N$1,$C$112:$C$113,0)-1,0)</f>
        <v>32.5</v>
      </c>
      <c r="E41" s="45">
        <f ca="1">18.8*OFFSET(E$112,MATCH($N$1,$C$112:$C$113,0)-1,0)</f>
        <v>18.8</v>
      </c>
      <c r="F41" s="45">
        <f ca="1">2*OFFSET(F$112,MATCH($N$1,$C$112:$C$113,0)-1,0)</f>
        <v>2</v>
      </c>
      <c r="G41" s="45">
        <f ca="1">10.4*OFFSET(G$112,MATCH($N$1,$C$112:$C$113,0)-1,0)</f>
        <v>10.4</v>
      </c>
      <c r="H41" s="45">
        <f ca="1">-0.7*OFFSET(H$112,MATCH($N$1,$C$112:$C$113,0)-1,0)</f>
        <v>-0.7</v>
      </c>
      <c r="I41" s="45">
        <f ca="1">25.4*OFFSET(I$112,MATCH($N$1,$C$112:$C$113,0)-1,0)</f>
        <v>25.4</v>
      </c>
      <c r="J41" s="45">
        <f ca="1">1.2*OFFSET(J$112,MATCH($N$1,$C$112:$C$113,0)-1,0)</f>
        <v>1.2</v>
      </c>
      <c r="K41" s="45">
        <f ca="1">10.3*OFFSET(K$112,MATCH($N$1,$C$112:$C$113,0)-1,0)</f>
        <v>10.3</v>
      </c>
      <c r="L41" s="45">
        <f ca="1">4.1*OFFSET(L$112,MATCH($N$1,$C$112:$C$113,0)-1,0)</f>
        <v>4.0999999999999996</v>
      </c>
      <c r="M41" s="45">
        <f ca="1">3.1*OFFSET(M$112,MATCH($N$1,$C$112:$C$113,0)-1,0)</f>
        <v>3.1</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130</v>
      </c>
      <c r="F46" s="94" t="s">
        <v>22</v>
      </c>
      <c r="G46" s="94" t="s">
        <v>22</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North Sea nephrops under 300kW</v>
      </c>
      <c r="C48" s="96"/>
      <c r="D48" s="96"/>
      <c r="E48" s="96"/>
      <c r="F48" s="96"/>
      <c r="G48" s="96"/>
      <c r="K48" s="96" t="str">
        <f>$B24&amp;CHAR(10)&amp;$A$1</f>
        <v>Operating profit per kW day at sea (£)
North Sea nephrops under 300kW</v>
      </c>
    </row>
    <row r="49" spans="1:11" s="82" customFormat="1" x14ac:dyDescent="0.2">
      <c r="A49" s="96" t="str">
        <f>$B22&amp;CHAR(10)&amp;$A$1</f>
        <v>Fishing income per kW day at sea (£)
North Sea nephrops under 300kW</v>
      </c>
    </row>
    <row r="50" spans="1:11" s="82" customFormat="1" x14ac:dyDescent="0.2">
      <c r="A50" s="96" t="str">
        <f>$B20&amp;CHAR(10)&amp;$A$1</f>
        <v>Average price per tonne landed (£)
North Sea nephrops under 300kW</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North Sea nephrops under 300kW</v>
      </c>
      <c r="F62" s="96" t="str">
        <f>$B20&amp;CHAR(10)&amp;$A$1</f>
        <v>Average price per tonne landed (£)
North Sea nephrops under 300kW</v>
      </c>
      <c r="K62" s="96" t="str">
        <f>"Average annual operating profit per vessel (£'000)"&amp;CHAR(10)&amp;$A$1</f>
        <v>Average annual operating profit per vessel (£'000)
North Sea nephrops under 300kW</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North Sea nephrops under 300kW</v>
      </c>
      <c r="F76" s="96" t="str">
        <f>"Top 5 landed species by value in "&amp;A77&amp;CHAR(10)&amp;A1</f>
        <v>Top 5 landed species by value in 2020
North Sea nephrops under 300kW</v>
      </c>
    </row>
    <row r="77" spans="1:11" s="96" customFormat="1" x14ac:dyDescent="0.2">
      <c r="A77" s="96">
        <v>2020</v>
      </c>
      <c r="B77" s="96" t="s">
        <v>305</v>
      </c>
      <c r="C77" s="97">
        <v>0.81407376300158041</v>
      </c>
      <c r="D77" s="98">
        <v>12153634</v>
      </c>
      <c r="G77" s="96" t="s">
        <v>306</v>
      </c>
      <c r="H77" s="97">
        <v>0.85260492034061564</v>
      </c>
      <c r="I77" s="98">
        <v>12153634</v>
      </c>
      <c r="K77" s="96" t="s">
        <v>87</v>
      </c>
    </row>
    <row r="78" spans="1:11" s="96" customFormat="1" x14ac:dyDescent="0.2">
      <c r="B78" s="96" t="s">
        <v>307</v>
      </c>
      <c r="C78" s="97">
        <v>4.3046784161706479E-2</v>
      </c>
      <c r="D78" s="98">
        <v>1692097</v>
      </c>
      <c r="G78" s="96" t="s">
        <v>308</v>
      </c>
      <c r="H78" s="97">
        <v>3.7592282516386105E-2</v>
      </c>
      <c r="I78" s="98">
        <v>553960</v>
      </c>
    </row>
    <row r="79" spans="1:11" s="96" customFormat="1" x14ac:dyDescent="0.2">
      <c r="B79" s="96" t="s">
        <v>309</v>
      </c>
      <c r="C79" s="97">
        <v>3.4544780838162363E-2</v>
      </c>
      <c r="D79" s="98">
        <v>11115023</v>
      </c>
      <c r="G79" s="96" t="s">
        <v>310</v>
      </c>
      <c r="H79" s="97">
        <v>2.3828643296134853E-2</v>
      </c>
      <c r="I79" s="98">
        <v>3050596</v>
      </c>
    </row>
    <row r="80" spans="1:11" s="96" customFormat="1" x14ac:dyDescent="0.2">
      <c r="B80" s="96" t="s">
        <v>311</v>
      </c>
      <c r="C80" s="97">
        <v>3.3765262079122262E-2</v>
      </c>
      <c r="D80" s="98">
        <v>553960</v>
      </c>
      <c r="G80" s="96" t="s">
        <v>206</v>
      </c>
      <c r="H80" s="97">
        <v>2.1161218696633746E-2</v>
      </c>
      <c r="I80" s="98">
        <v>1692097</v>
      </c>
    </row>
    <row r="81" spans="1:19" s="96" customFormat="1" x14ac:dyDescent="0.2">
      <c r="B81" s="96" t="s">
        <v>312</v>
      </c>
      <c r="C81" s="97">
        <v>1.8779270822760551E-2</v>
      </c>
      <c r="D81" s="98">
        <v>3050596</v>
      </c>
      <c r="G81" s="96" t="s">
        <v>313</v>
      </c>
      <c r="H81" s="97">
        <v>1.3323551287098426E-2</v>
      </c>
      <c r="I81" s="98">
        <v>3689192</v>
      </c>
    </row>
    <row r="82" spans="1:19" s="96" customFormat="1" x14ac:dyDescent="0.2">
      <c r="B82" s="96" t="s">
        <v>314</v>
      </c>
      <c r="C82" s="97">
        <v>5.5790139096667968E-2</v>
      </c>
      <c r="D82" s="98">
        <v>5920853</v>
      </c>
      <c r="G82" s="96" t="s">
        <v>315</v>
      </c>
      <c r="H82" s="97">
        <v>5.1489383863131177E-2</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102</v>
      </c>
      <c r="D92" s="102">
        <v>0.87436892125458099</v>
      </c>
      <c r="E92" s="102">
        <v>0.86746253934379847</v>
      </c>
      <c r="F92" s="102">
        <v>0.84242194081927868</v>
      </c>
      <c r="G92" s="102">
        <v>0.87395733269264164</v>
      </c>
      <c r="H92" s="102">
        <v>0.81288988720656163</v>
      </c>
      <c r="I92" s="102">
        <v>0.80573828944318304</v>
      </c>
      <c r="J92" s="102">
        <v>0.84907205540570596</v>
      </c>
      <c r="K92" s="102">
        <v>0.87214342376848364</v>
      </c>
      <c r="L92" s="102">
        <v>0.85260492034061564</v>
      </c>
      <c r="M92" s="102">
        <v>0.85919760231533326</v>
      </c>
      <c r="O92" s="96">
        <v>12153634</v>
      </c>
    </row>
    <row r="93" spans="1:19" s="96" customFormat="1" hidden="1" x14ac:dyDescent="0.2">
      <c r="B93" s="96">
        <v>2</v>
      </c>
      <c r="C93" s="96" t="s">
        <v>143</v>
      </c>
      <c r="D93" s="102">
        <v>1.8643631403942436E-2</v>
      </c>
      <c r="E93" s="102">
        <v>1.9045899694926212E-2</v>
      </c>
      <c r="F93" s="102">
        <v>2.3814822468433239E-2</v>
      </c>
      <c r="G93" s="102">
        <v>3.2214785011503863E-2</v>
      </c>
      <c r="H93" s="102">
        <v>3.7520450482049147E-2</v>
      </c>
      <c r="I93" s="102">
        <v>2.9055101222549142E-2</v>
      </c>
      <c r="J93" s="102">
        <v>2.4434976943989287E-2</v>
      </c>
      <c r="K93" s="102">
        <v>1.7345722915582552E-2</v>
      </c>
      <c r="L93" s="102">
        <v>3.7592282516386105E-2</v>
      </c>
      <c r="M93" s="102">
        <v>3.7605317096947928E-2</v>
      </c>
      <c r="O93" s="96">
        <v>553960</v>
      </c>
    </row>
    <row r="94" spans="1:19" s="96" customFormat="1" hidden="1" x14ac:dyDescent="0.2">
      <c r="B94" s="96">
        <v>3</v>
      </c>
      <c r="C94" s="96" t="s">
        <v>145</v>
      </c>
      <c r="D94" s="102">
        <v>1.4565380742687284E-2</v>
      </c>
      <c r="E94" s="102">
        <v>1.6965028622457728E-2</v>
      </c>
      <c r="F94" s="102">
        <v>2.4365318977610517E-2</v>
      </c>
      <c r="G94" s="102">
        <v>1.8420947575077187E-2</v>
      </c>
      <c r="H94" s="102">
        <v>4.4875522437971153E-2</v>
      </c>
      <c r="I94" s="102">
        <v>2.5445165431348768E-2</v>
      </c>
      <c r="J94" s="102">
        <v>2.4877213574446874E-2</v>
      </c>
      <c r="K94" s="102">
        <v>1.8849319636220087E-2</v>
      </c>
      <c r="L94" s="102">
        <v>2.3828643296134853E-2</v>
      </c>
      <c r="M94" s="102"/>
      <c r="O94" s="96">
        <v>3050596</v>
      </c>
    </row>
    <row r="95" spans="1:19" s="96" customFormat="1" hidden="1" x14ac:dyDescent="0.2">
      <c r="B95" s="96">
        <v>4</v>
      </c>
      <c r="C95" s="96" t="s">
        <v>20</v>
      </c>
      <c r="D95" s="102">
        <v>2.5370738124818683E-2</v>
      </c>
      <c r="E95" s="102">
        <v>2.3075835593973661E-2</v>
      </c>
      <c r="F95" s="102">
        <v>4.4402761661023596E-2</v>
      </c>
      <c r="G95" s="102">
        <v>1.1199211404180936E-2</v>
      </c>
      <c r="H95" s="102">
        <v>3.0224933323922613E-2</v>
      </c>
      <c r="I95" s="102">
        <v>2.8458059575261315E-2</v>
      </c>
      <c r="J95" s="102">
        <v>2.453333940729438E-2</v>
      </c>
      <c r="K95" s="102">
        <v>1.6318600818924042E-2</v>
      </c>
      <c r="L95" s="102">
        <v>2.1161218696633746E-2</v>
      </c>
      <c r="M95" s="102">
        <v>1.2074437533715102E-2</v>
      </c>
      <c r="O95" s="96">
        <v>1692097</v>
      </c>
    </row>
    <row r="96" spans="1:19" s="96" customFormat="1" hidden="1" x14ac:dyDescent="0.2">
      <c r="B96" s="96">
        <v>5</v>
      </c>
      <c r="C96" s="96" t="s">
        <v>98</v>
      </c>
      <c r="D96" s="102"/>
      <c r="E96" s="102"/>
      <c r="F96" s="102"/>
      <c r="G96" s="102"/>
      <c r="H96" s="102"/>
      <c r="I96" s="102"/>
      <c r="J96" s="102"/>
      <c r="K96" s="102"/>
      <c r="L96" s="102">
        <v>1.3323551287098426E-2</v>
      </c>
      <c r="M96" s="102">
        <v>1.3394928489633175E-2</v>
      </c>
      <c r="O96" s="96">
        <v>3689192</v>
      </c>
    </row>
    <row r="97" spans="1:15" s="96" customFormat="1" hidden="1" x14ac:dyDescent="0.2">
      <c r="B97" s="96">
        <v>6</v>
      </c>
      <c r="C97" s="96" t="s">
        <v>126</v>
      </c>
      <c r="D97" s="102">
        <v>2.0054456675116326E-2</v>
      </c>
      <c r="E97" s="102">
        <v>2.3011969737738051E-2</v>
      </c>
      <c r="F97" s="102">
        <v>2.0842069134997244E-2</v>
      </c>
      <c r="G97" s="102">
        <v>2.0350078598338549E-2</v>
      </c>
      <c r="H97" s="102">
        <v>1.9331318118683376E-2</v>
      </c>
      <c r="I97" s="102"/>
      <c r="J97" s="102"/>
      <c r="K97" s="102"/>
      <c r="L97" s="102"/>
      <c r="M97" s="102">
        <v>1.0322701010350675E-2</v>
      </c>
      <c r="O97" s="96">
        <v>11115023</v>
      </c>
    </row>
    <row r="98" spans="1:15" s="96" customFormat="1" hidden="1" x14ac:dyDescent="0.2">
      <c r="B98" s="96">
        <v>7</v>
      </c>
      <c r="C98" s="96" t="s">
        <v>195</v>
      </c>
      <c r="D98" s="102"/>
      <c r="E98" s="102"/>
      <c r="F98" s="102"/>
      <c r="G98" s="102"/>
      <c r="H98" s="102"/>
      <c r="I98" s="102"/>
      <c r="J98" s="102"/>
      <c r="K98" s="102">
        <v>1.6179305055900324E-2</v>
      </c>
      <c r="L98" s="102"/>
      <c r="M98" s="102"/>
      <c r="O98" s="96">
        <v>2480382</v>
      </c>
    </row>
    <row r="99" spans="1:15" s="96" customFormat="1" hidden="1" x14ac:dyDescent="0.2">
      <c r="B99" s="96">
        <v>8</v>
      </c>
      <c r="C99" s="96" t="s">
        <v>145</v>
      </c>
      <c r="D99" s="102"/>
      <c r="E99" s="102"/>
      <c r="F99" s="102"/>
      <c r="G99" s="102"/>
      <c r="H99" s="102"/>
      <c r="I99" s="102">
        <v>3.8196043988425236E-2</v>
      </c>
      <c r="J99" s="102">
        <v>2.450219798189587E-2</v>
      </c>
      <c r="K99" s="102"/>
      <c r="L99" s="102"/>
      <c r="M99" s="102"/>
      <c r="O99" s="96">
        <v>7434864</v>
      </c>
    </row>
    <row r="100" spans="1:15" s="96" customFormat="1" hidden="1" x14ac:dyDescent="0.2">
      <c r="B100" s="96">
        <v>9</v>
      </c>
      <c r="C100" s="96" t="s">
        <v>107</v>
      </c>
      <c r="D100" s="102">
        <v>4.6996871798854305E-2</v>
      </c>
      <c r="E100" s="102">
        <v>5.0438727007105895E-2</v>
      </c>
      <c r="F100" s="102">
        <v>4.4153086938656765E-2</v>
      </c>
      <c r="G100" s="102">
        <v>4.3857644718257843E-2</v>
      </c>
      <c r="H100" s="102">
        <v>5.5157888430812096E-2</v>
      </c>
      <c r="I100" s="102">
        <v>7.3107340339232496E-2</v>
      </c>
      <c r="J100" s="102">
        <v>5.2580216686667645E-2</v>
      </c>
      <c r="K100" s="102">
        <v>5.916362780488936E-2</v>
      </c>
      <c r="L100" s="102">
        <v>5.1489383863131247E-2</v>
      </c>
      <c r="M100" s="102">
        <v>6.7405013554019802E-2</v>
      </c>
      <c r="O100" s="96">
        <v>5920853</v>
      </c>
    </row>
    <row r="101" spans="1:15" s="96" customFormat="1" hidden="1" x14ac:dyDescent="0.2">
      <c r="B101" s="96">
        <v>10</v>
      </c>
      <c r="D101" s="102"/>
      <c r="E101" s="102"/>
      <c r="F101" s="102"/>
      <c r="G101" s="102"/>
      <c r="H101" s="102"/>
      <c r="I101" s="102"/>
      <c r="J101" s="102"/>
      <c r="K101" s="102"/>
      <c r="L101" s="102"/>
      <c r="M101" s="102"/>
      <c r="O101" s="96">
        <v>14393110</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10</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17</v>
      </c>
      <c r="D120" s="56">
        <v>32</v>
      </c>
      <c r="E120" s="56">
        <v>17</v>
      </c>
      <c r="F120" s="57">
        <v>68</v>
      </c>
    </row>
    <row r="121" spans="1:15" ht="18" customHeight="1" x14ac:dyDescent="0.2">
      <c r="A121" s="194" t="s">
        <v>27</v>
      </c>
      <c r="B121" s="35" t="s">
        <v>62</v>
      </c>
      <c r="C121" s="58">
        <v>13.280588150024414</v>
      </c>
      <c r="D121" s="58">
        <v>13.915937423706055</v>
      </c>
      <c r="E121" s="58">
        <v>15.215882301330566</v>
      </c>
      <c r="F121" s="59">
        <v>13.943235397338867</v>
      </c>
    </row>
    <row r="122" spans="1:15" ht="18" customHeight="1" x14ac:dyDescent="0.2">
      <c r="A122" s="195"/>
      <c r="B122" s="37" t="s">
        <v>55</v>
      </c>
      <c r="C122" s="60">
        <v>176.4705810546875</v>
      </c>
      <c r="D122" s="60">
        <v>167.71875</v>
      </c>
      <c r="E122" s="60">
        <v>196.17646789550781</v>
      </c>
      <c r="F122" s="61">
        <v>172.95588684082031</v>
      </c>
    </row>
    <row r="123" spans="1:15" ht="18" customHeight="1" x14ac:dyDescent="0.2">
      <c r="A123" s="195"/>
      <c r="B123" s="37" t="s">
        <v>56</v>
      </c>
      <c r="C123" s="60">
        <v>38.588233947753906</v>
      </c>
      <c r="D123" s="60">
        <v>34.84375</v>
      </c>
      <c r="E123" s="60">
        <v>44.235294342041016</v>
      </c>
      <c r="F123" s="61">
        <v>36.705883026123047</v>
      </c>
    </row>
    <row r="124" spans="1:15" ht="18" customHeight="1" x14ac:dyDescent="0.2">
      <c r="A124" s="195"/>
      <c r="B124" s="37" t="s">
        <v>57</v>
      </c>
      <c r="C124" s="60">
        <v>146.16224670410156</v>
      </c>
      <c r="D124" s="60">
        <v>146.01718139648438</v>
      </c>
      <c r="E124" s="60">
        <v>166.88951110839844</v>
      </c>
      <c r="F124" s="61">
        <v>148.07582092285156</v>
      </c>
    </row>
    <row r="125" spans="1:15" ht="18" customHeight="1" x14ac:dyDescent="0.2">
      <c r="A125" s="195"/>
      <c r="B125" s="37" t="s">
        <v>58</v>
      </c>
      <c r="C125" s="33">
        <v>139.85914611816406</v>
      </c>
      <c r="D125" s="33">
        <v>59.162380218505859</v>
      </c>
      <c r="E125" s="33">
        <v>52.332141876220703</v>
      </c>
      <c r="F125" s="62">
        <v>45.029705047607422</v>
      </c>
    </row>
    <row r="126" spans="1:15" ht="18" customHeight="1" x14ac:dyDescent="0.2">
      <c r="A126" s="195"/>
      <c r="B126" s="37" t="s">
        <v>63</v>
      </c>
      <c r="C126" s="33">
        <f ca="1">293.8528125*OFFSET($L$112,MATCH($N$1,$C$112:$C$113,0)-1,0)</f>
        <v>293.85281250000003</v>
      </c>
      <c r="D126" s="33">
        <f ca="1">175.7315*OFFSET($L$112,MATCH($N$1,$C$112:$C$113,0)-1,0)</f>
        <v>175.73150000000001</v>
      </c>
      <c r="E126" s="33">
        <f ca="1">153.28578125*OFFSET($L$112,MATCH($N$1,$C$112:$C$113,0)-1,0)</f>
        <v>153.28578125000001</v>
      </c>
      <c r="F126" s="62">
        <f ca="1">98.9208671875*OFFSET($L$112,MATCH($N$1,$C$112:$C$113,0)-1,0)</f>
        <v>98.920867187499994</v>
      </c>
    </row>
    <row r="127" spans="1:15" ht="18" customHeight="1" x14ac:dyDescent="0.2">
      <c r="A127" s="195"/>
      <c r="B127" s="37" t="s">
        <v>60</v>
      </c>
      <c r="C127" s="60">
        <v>130.41175842285156</v>
      </c>
      <c r="D127" s="60">
        <v>110.59375</v>
      </c>
      <c r="E127" s="60">
        <v>143.11764526367188</v>
      </c>
      <c r="F127" s="61">
        <v>98.779411315917969</v>
      </c>
    </row>
    <row r="128" spans="1:15" ht="18" customHeight="1" x14ac:dyDescent="0.2">
      <c r="A128" s="195"/>
      <c r="B128" s="37" t="s">
        <v>64</v>
      </c>
      <c r="C128" s="60">
        <v>35.529411315917969</v>
      </c>
      <c r="D128" s="60">
        <v>41.75</v>
      </c>
      <c r="E128" s="60">
        <v>45.875</v>
      </c>
      <c r="F128" s="61">
        <v>41.134326934814453</v>
      </c>
    </row>
    <row r="129" spans="1:15" ht="18" customHeight="1" x14ac:dyDescent="0.2">
      <c r="A129" s="195"/>
      <c r="B129" s="37" t="s">
        <v>65</v>
      </c>
      <c r="C129" s="63">
        <v>1.0724427700042725</v>
      </c>
      <c r="D129" s="63">
        <v>0.53495229358355112</v>
      </c>
      <c r="E129" s="63">
        <v>0.3656582236289978</v>
      </c>
      <c r="F129" s="64">
        <v>0.45586124062538147</v>
      </c>
    </row>
    <row r="130" spans="1:15" ht="18" customHeight="1" x14ac:dyDescent="0.2">
      <c r="A130" s="196"/>
      <c r="B130" s="39" t="s">
        <v>28</v>
      </c>
      <c r="C130" s="40">
        <f ca="1">2101.06253796037*OFFSET($L$112,MATCH($N$1,$C$112:$C$113,0)-1,0)</f>
        <v>2101.0625379603698</v>
      </c>
      <c r="D130" s="40">
        <f ca="1">2970.32505032703*OFFSET($L$112,MATCH($N$1,$C$112:$C$113,0)-1,0)</f>
        <v>2970.3250503270301</v>
      </c>
      <c r="E130" s="40">
        <f ca="1">2929.09435299937*OFFSET($L$112,MATCH($N$1,$C$112:$C$113,0)-1,0)</f>
        <v>2929.0943529993701</v>
      </c>
      <c r="F130" s="65">
        <f ca="1">2197*OFFSET($L$112,MATCH($N$1,$C$112:$C$113,0)-1,0)</f>
        <v>2197</v>
      </c>
    </row>
    <row r="131" spans="1:15" ht="18" customHeight="1" x14ac:dyDescent="0.2">
      <c r="A131" s="205" t="s">
        <v>29</v>
      </c>
      <c r="B131" s="35" t="s">
        <v>66</v>
      </c>
      <c r="C131" s="66">
        <v>5.6191427522999851</v>
      </c>
      <c r="D131" s="66">
        <v>2.9584472136630584</v>
      </c>
      <c r="E131" s="66">
        <v>1.8978151614262129</v>
      </c>
      <c r="F131" s="67">
        <v>2.4588692636102594</v>
      </c>
    </row>
    <row r="132" spans="1:15" ht="18" customHeight="1" x14ac:dyDescent="0.2">
      <c r="A132" s="206"/>
      <c r="B132" s="37" t="s">
        <v>67</v>
      </c>
      <c r="C132" s="63">
        <f ca="1">11.806170332309*OFFSET($L$112,MATCH($N$1,$C$112:$C$113,0)-1,0)</f>
        <v>11.806170332309</v>
      </c>
      <c r="D132" s="63">
        <f ca="1">8.78754986881357*OFFSET($L$112,MATCH($N$1,$C$112:$C$113,0)-1,0)</f>
        <v>8.7875498688135707</v>
      </c>
      <c r="E132" s="63">
        <f ca="1">5.55887967237011*OFFSET($L$112,MATCH($N$1,$C$112:$C$113,0)-1,0)</f>
        <v>5.5588796723701099</v>
      </c>
      <c r="F132" s="64">
        <f ca="1">5.40162276434765*OFFSET($L$112,MATCH($N$1,$C$112:$C$113,0)-1,0)</f>
        <v>5.4016227643476498</v>
      </c>
    </row>
    <row r="133" spans="1:15" ht="18" customHeight="1" x14ac:dyDescent="0.2">
      <c r="A133" s="206"/>
      <c r="B133" s="37" t="s">
        <v>11</v>
      </c>
      <c r="C133" s="63">
        <f ca="1">9.81158734294028*OFFSET($L$112,MATCH($N$1,$C$112:$C$113,0)-1,0)</f>
        <v>9.81158734294028</v>
      </c>
      <c r="D133" s="63">
        <f ca="1">8.26426095707492*OFFSET($L$112,MATCH($N$1,$C$112:$C$113,0)-1,0)</f>
        <v>8.2642609570749208</v>
      </c>
      <c r="E133" s="63">
        <f ca="1">6.25259622746819*OFFSET($L$112,MATCH($N$1,$C$112:$C$113,0)-1,0)</f>
        <v>6.2525962274681897</v>
      </c>
      <c r="F133" s="64">
        <f ca="1">4.28771623828728*OFFSET($L$112,MATCH($N$1,$C$112:$C$113,0)-1,0)</f>
        <v>4.2877162382872802</v>
      </c>
    </row>
    <row r="134" spans="1:15" ht="18" customHeight="1" x14ac:dyDescent="0.2">
      <c r="A134" s="207"/>
      <c r="B134" s="39" t="s">
        <v>12</v>
      </c>
      <c r="C134" s="68">
        <f ca="1">1.99458298936875*OFFSET($L$112,MATCH($N$1,$C$112:$C$113,0)-1,0)</f>
        <v>1.9945829893687499</v>
      </c>
      <c r="D134" s="68">
        <f ca="1">0.523288911738646*OFFSET($L$112,MATCH($N$1,$C$112:$C$113,0)-1,0)</f>
        <v>0.523288911738646</v>
      </c>
      <c r="E134" s="68">
        <f ca="1">-0.693716555098074*OFFSET($L$112,MATCH($N$1,$C$112:$C$113,0)-1,0)</f>
        <v>-0.69371655509807395</v>
      </c>
      <c r="F134" s="69">
        <f ca="1">1.11390652606037*OFFSET($L$112,MATCH($N$1,$C$112:$C$113,0)-1,0)</f>
        <v>1.11390652606037</v>
      </c>
    </row>
    <row r="135" spans="1:15" ht="18" customHeight="1" x14ac:dyDescent="0.2">
      <c r="A135" s="208" t="s">
        <v>49</v>
      </c>
      <c r="B135" s="37" t="s">
        <v>109</v>
      </c>
      <c r="C135" s="70">
        <f ca="1">43.06719140625*OFFSET($L$112,MATCH($N$1,$C$112:$C$113,0)-1,0)</f>
        <v>43.067191406249997</v>
      </c>
      <c r="D135" s="70">
        <f ca="1">44.979470703125*OFFSET($L$112,MATCH($N$1,$C$112:$C$113,0)-1,0)</f>
        <v>44.979470703125003</v>
      </c>
      <c r="E135" s="70">
        <f ca="1">67.4915546875*OFFSET($L$112,MATCH($N$1,$C$112:$C$113,0)-1,0)</f>
        <v>67.491554687499999</v>
      </c>
      <c r="F135" s="71">
        <f ca="1">27.90508203125*OFFSET($L$112,MATCH($N$1,$C$112:$C$113,0)-1,0)</f>
        <v>27.90508203125</v>
      </c>
    </row>
    <row r="136" spans="1:15" ht="18" customHeight="1" x14ac:dyDescent="0.2">
      <c r="A136" s="209"/>
      <c r="B136" s="37" t="s">
        <v>110</v>
      </c>
      <c r="C136" s="31">
        <v>82930.583539721556</v>
      </c>
      <c r="D136" s="31">
        <v>86675.000358581543</v>
      </c>
      <c r="E136" s="31">
        <v>129799.9998008348</v>
      </c>
      <c r="F136" s="72">
        <v>74044.117647058825</v>
      </c>
    </row>
    <row r="137" spans="1:15" ht="18" customHeight="1" x14ac:dyDescent="0.2">
      <c r="A137" s="209"/>
      <c r="B137" s="37" t="s">
        <v>111</v>
      </c>
      <c r="C137" s="31">
        <v>635.91339111328125</v>
      </c>
      <c r="D137" s="31">
        <v>783.7242191225231</v>
      </c>
      <c r="E137" s="31">
        <v>906.9461669921875</v>
      </c>
      <c r="F137" s="72">
        <v>749.590576171875</v>
      </c>
    </row>
    <row r="138" spans="1:15" ht="18" customHeight="1" x14ac:dyDescent="0.2">
      <c r="A138" s="209"/>
      <c r="B138" s="37" t="s">
        <v>112</v>
      </c>
      <c r="C138" s="31">
        <f ca="1">330.240094352593*OFFSET($L$112,MATCH($N$1,$C$112:$C$113,0)-1,0)</f>
        <v>330.24009435259302</v>
      </c>
      <c r="D138" s="31">
        <f ca="1">406.708974992936*OFFSET($L$112,MATCH($N$1,$C$112:$C$113,0)-1,0)</f>
        <v>406.70897499293602</v>
      </c>
      <c r="E138" s="31">
        <f ca="1">471.580947011512*OFFSET($L$112,MATCH($N$1,$C$112:$C$113,0)-1,0)</f>
        <v>471.58094701151202</v>
      </c>
      <c r="F138" s="72">
        <f ca="1">282.49897078252*OFFSET($L$112,MATCH($N$1,$C$112:$C$113,0)-1,0)</f>
        <v>282.49897078252002</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307.932606494419*OFFSET($L$112,MATCH($N$1,$C$112:$C$113,0)-1,0)</f>
        <v>307.93260649441902</v>
      </c>
      <c r="D139" s="31">
        <f ca="1">760.271485646812*OFFSET($L$112,MATCH($N$1,$C$112:$C$113,0)-1,0)</f>
        <v>760.27148564681204</v>
      </c>
      <c r="E139" s="31">
        <f ca="1">1289.6769034819*OFFSET($L$112,MATCH($N$1,$C$112:$C$113,0)-1,0)</f>
        <v>1289.6769034818999</v>
      </c>
      <c r="F139" s="72">
        <f ca="1">619.703859968603*OFFSET($L$112,MATCH($N$1,$C$112:$C$113,0)-1,0)</f>
        <v>619.70385996860296</v>
      </c>
      <c r="I139" s="48"/>
      <c r="K139" s="73" t="s">
        <v>114</v>
      </c>
      <c r="L139" s="74">
        <f t="shared" ref="L139:M141" ca="1" si="2">C140</f>
        <v>302.4693125</v>
      </c>
      <c r="M139" s="74">
        <f t="shared" ca="1" si="2"/>
        <v>180.88439062500001</v>
      </c>
      <c r="N139" s="74">
        <f ca="1">E140</f>
        <v>157.78051562499999</v>
      </c>
      <c r="O139" s="74"/>
    </row>
    <row r="140" spans="1:15" ht="18" customHeight="1" x14ac:dyDescent="0.2">
      <c r="A140" s="187" t="s">
        <v>50</v>
      </c>
      <c r="B140" s="35" t="s">
        <v>115</v>
      </c>
      <c r="C140" s="75">
        <f ca="1">302.4693125*OFFSET($L$112,MATCH($N$1,$C$112:$C$113,0)-1,0)</f>
        <v>302.4693125</v>
      </c>
      <c r="D140" s="75">
        <f ca="1">180.884390625*OFFSET($L$112,MATCH($N$1,$C$112:$C$113,0)-1,0)</f>
        <v>180.88439062500001</v>
      </c>
      <c r="E140" s="75">
        <f ca="1">157.780515625*OFFSET($L$112,MATCH($N$1,$C$112:$C$113,0)-1,0)</f>
        <v>157.78051562499999</v>
      </c>
      <c r="F140" s="76">
        <f ca="1">122.67078125*OFFSET($L$112,MATCH($N$1,$C$112:$C$113,0)-1,0)</f>
        <v>122.67078125</v>
      </c>
      <c r="I140" s="48"/>
      <c r="K140" s="73" t="s">
        <v>116</v>
      </c>
      <c r="L140" s="74">
        <f t="shared" ca="1" si="2"/>
        <v>252.824625</v>
      </c>
      <c r="M140" s="74">
        <f t="shared" ca="1" si="2"/>
        <v>170.4197734375</v>
      </c>
      <c r="N140" s="74">
        <f ca="1">E141</f>
        <v>176.90970312499999</v>
      </c>
      <c r="O140" s="74"/>
    </row>
    <row r="141" spans="1:15" ht="18" customHeight="1" x14ac:dyDescent="0.2">
      <c r="A141" s="188"/>
      <c r="B141" s="37" t="s">
        <v>117</v>
      </c>
      <c r="C141" s="31">
        <f ca="1">252.824625*OFFSET($L$112,MATCH($N$1,$C$112:$C$113,0)-1,0)</f>
        <v>252.824625</v>
      </c>
      <c r="D141" s="31">
        <f ca="1">170.4197734375*OFFSET($L$112,MATCH($N$1,$C$112:$C$113,0)-1,0)</f>
        <v>170.4197734375</v>
      </c>
      <c r="E141" s="31">
        <f ca="1">176.909703125*OFFSET($L$112,MATCH($N$1,$C$112:$C$113,0)-1,0)</f>
        <v>176.90970312499999</v>
      </c>
      <c r="F141" s="72">
        <f ca="1">102.2716171875*OFFSET($L$112,MATCH($N$1,$C$112:$C$113,0)-1,0)</f>
        <v>102.2716171875</v>
      </c>
      <c r="I141" s="48"/>
      <c r="K141" s="73" t="s">
        <v>118</v>
      </c>
      <c r="L141" s="74">
        <f t="shared" ca="1" si="2"/>
        <v>49.644687500000003</v>
      </c>
      <c r="M141" s="74">
        <f t="shared" ca="1" si="2"/>
        <v>10.4646171875</v>
      </c>
      <c r="N141" s="74">
        <f ca="1">E142</f>
        <v>-19.1291875</v>
      </c>
      <c r="O141" s="74"/>
    </row>
    <row r="142" spans="1:15" ht="18" customHeight="1" x14ac:dyDescent="0.2">
      <c r="A142" s="189"/>
      <c r="B142" s="39" t="s">
        <v>119</v>
      </c>
      <c r="C142" s="40">
        <f ca="1">49.6446875*OFFSET($L$112,MATCH($N$1,$C$112:$C$113,0)-1,0)</f>
        <v>49.644687500000003</v>
      </c>
      <c r="D142" s="40">
        <f ca="1">10.4646171875*OFFSET($L$112,MATCH($N$1,$C$112:$C$113,0)-1,0)</f>
        <v>10.4646171875</v>
      </c>
      <c r="E142" s="40">
        <f ca="1">-19.1291875*OFFSET($L$112,MATCH($N$1,$C$112:$C$113,0)-1,0)</f>
        <v>-19.1291875</v>
      </c>
      <c r="F142" s="65">
        <f ca="1">20.399166015625*OFFSET($L$112,MATCH($N$1,$C$112:$C$113,0)-1,0)</f>
        <v>20.399166015624999</v>
      </c>
      <c r="I142" s="48"/>
      <c r="K142" s="73" t="s">
        <v>120</v>
      </c>
      <c r="L142" s="77">
        <f ca="1">IFERROR(L140/L$139,"")</f>
        <v>0.83586868006651083</v>
      </c>
      <c r="M142" s="77">
        <f t="shared" ref="M142:N143" ca="1" si="3">IFERROR(M140/M$139,"")</f>
        <v>0.94214748353165145</v>
      </c>
      <c r="N142" s="77">
        <f t="shared" ca="1" si="3"/>
        <v>1.1212392254152896</v>
      </c>
      <c r="O142" s="77"/>
    </row>
    <row r="143" spans="1:15" ht="18" customHeight="1" x14ac:dyDescent="0.2">
      <c r="I143" s="48"/>
      <c r="K143" s="73" t="s">
        <v>121</v>
      </c>
      <c r="L143" s="77">
        <f ca="1">IFERROR(L141/L$139,"")</f>
        <v>0.16413131993348914</v>
      </c>
      <c r="M143" s="77">
        <f t="shared" ca="1" si="3"/>
        <v>5.7852516468348519E-2</v>
      </c>
      <c r="N143" s="77">
        <f t="shared" ca="1" si="3"/>
        <v>-0.12123922541528963</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7</v>
      </c>
      <c r="B161" s="53"/>
      <c r="C161" s="78" t="s">
        <v>45</v>
      </c>
      <c r="D161" s="78" t="s">
        <v>122</v>
      </c>
      <c r="E161" s="78" t="s">
        <v>47</v>
      </c>
      <c r="F161" s="78" t="s">
        <v>123</v>
      </c>
      <c r="G161" s="79">
        <v>9</v>
      </c>
      <c r="H161" s="78"/>
      <c r="I161" s="78" t="s">
        <v>45</v>
      </c>
      <c r="J161" s="78" t="s">
        <v>122</v>
      </c>
      <c r="K161" s="78" t="s">
        <v>47</v>
      </c>
      <c r="L161" s="53" t="s">
        <v>123</v>
      </c>
      <c r="R161" s="21"/>
      <c r="S161" s="21"/>
    </row>
    <row r="162" spans="1:19" s="48" customFormat="1" x14ac:dyDescent="0.2">
      <c r="A162" s="49">
        <v>1</v>
      </c>
      <c r="B162" s="53" t="s">
        <v>102</v>
      </c>
      <c r="C162" s="53">
        <v>0.1672513331386456</v>
      </c>
      <c r="D162" s="53">
        <v>0.80748436780177613</v>
      </c>
      <c r="E162" s="53">
        <v>0.59744845745054165</v>
      </c>
      <c r="F162" s="49">
        <v>12153634</v>
      </c>
      <c r="G162" s="49">
        <v>1</v>
      </c>
      <c r="H162" s="53" t="s">
        <v>102</v>
      </c>
      <c r="I162" s="53">
        <v>0.2015002389558106</v>
      </c>
      <c r="J162" s="53">
        <v>0.84907120906948397</v>
      </c>
      <c r="K162" s="53">
        <v>0.46734656647998796</v>
      </c>
      <c r="L162" s="49">
        <v>12153634</v>
      </c>
      <c r="R162" s="21"/>
      <c r="S162" s="21"/>
    </row>
    <row r="163" spans="1:19" s="48" customFormat="1" x14ac:dyDescent="0.2">
      <c r="A163" s="49">
        <v>2</v>
      </c>
      <c r="B163" s="53" t="s">
        <v>20</v>
      </c>
      <c r="C163" s="53">
        <v>0</v>
      </c>
      <c r="D163" s="53">
        <v>6.0768328027289334E-2</v>
      </c>
      <c r="E163" s="53">
        <v>0</v>
      </c>
      <c r="F163" s="49">
        <v>1692097</v>
      </c>
      <c r="G163" s="49">
        <v>2</v>
      </c>
      <c r="H163" s="53" t="s">
        <v>143</v>
      </c>
      <c r="I163" s="53">
        <v>2.77764082106377E-3</v>
      </c>
      <c r="J163" s="53">
        <v>4.7953894550400222E-2</v>
      </c>
      <c r="K163" s="53">
        <v>1.4174021572542276E-2</v>
      </c>
      <c r="L163" s="49">
        <v>553960</v>
      </c>
      <c r="N163" s="48" t="s">
        <v>124</v>
      </c>
      <c r="R163" s="21"/>
      <c r="S163" s="21"/>
    </row>
    <row r="164" spans="1:19" s="48" customFormat="1" x14ac:dyDescent="0.2">
      <c r="A164" s="49">
        <v>3</v>
      </c>
      <c r="B164" s="53" t="s">
        <v>143</v>
      </c>
      <c r="C164" s="53">
        <v>2.7936510411147434E-3</v>
      </c>
      <c r="D164" s="53">
        <v>4.2678496631919326E-2</v>
      </c>
      <c r="E164" s="53">
        <v>1.5859334795763465E-2</v>
      </c>
      <c r="F164" s="49">
        <v>553960</v>
      </c>
      <c r="G164" s="49">
        <v>3</v>
      </c>
      <c r="H164" s="53" t="s">
        <v>20</v>
      </c>
      <c r="I164" s="53">
        <v>0</v>
      </c>
      <c r="J164" s="53">
        <v>3.0241904286111895E-2</v>
      </c>
      <c r="K164" s="53">
        <v>0</v>
      </c>
      <c r="L164" s="49">
        <v>1692097</v>
      </c>
      <c r="N164" s="48" t="s">
        <v>125</v>
      </c>
      <c r="R164" s="21"/>
      <c r="S164" s="21"/>
    </row>
    <row r="165" spans="1:19" s="48" customFormat="1" x14ac:dyDescent="0.2">
      <c r="A165" s="49">
        <v>4</v>
      </c>
      <c r="B165" s="53" t="s">
        <v>126</v>
      </c>
      <c r="C165" s="53">
        <v>1.3450507227782185E-3</v>
      </c>
      <c r="D165" s="53">
        <v>3.345494027804187E-2</v>
      </c>
      <c r="E165" s="53">
        <v>4.2488677595112559E-2</v>
      </c>
      <c r="F165" s="49">
        <v>11115023</v>
      </c>
      <c r="G165" s="49">
        <v>4</v>
      </c>
      <c r="H165" s="53" t="s">
        <v>145</v>
      </c>
      <c r="I165" s="53">
        <v>2.1218453003115393E-3</v>
      </c>
      <c r="J165" s="53">
        <v>2.8229819393753571E-2</v>
      </c>
      <c r="K165" s="53">
        <v>2.3258091485635665E-2</v>
      </c>
      <c r="L165" s="49">
        <v>3050596</v>
      </c>
      <c r="R165" s="21"/>
      <c r="S165" s="21"/>
    </row>
    <row r="166" spans="1:19" s="48" customFormat="1" x14ac:dyDescent="0.2">
      <c r="A166" s="49">
        <v>5</v>
      </c>
      <c r="B166" s="53" t="s">
        <v>145</v>
      </c>
      <c r="C166" s="53">
        <v>1.6205379640378585E-3</v>
      </c>
      <c r="D166" s="53">
        <v>2.4229729907860091E-2</v>
      </c>
      <c r="E166" s="53">
        <v>2.0515677879210346E-2</v>
      </c>
      <c r="F166" s="49">
        <v>3050596</v>
      </c>
      <c r="G166" s="49">
        <v>5</v>
      </c>
      <c r="H166" s="53" t="s">
        <v>98</v>
      </c>
      <c r="I166" s="53">
        <v>0</v>
      </c>
      <c r="J166" s="53">
        <v>1.9019314286059727E-2</v>
      </c>
      <c r="K166" s="53">
        <v>0</v>
      </c>
      <c r="L166" s="49">
        <v>3689192</v>
      </c>
      <c r="R166" s="21"/>
      <c r="S166" s="21"/>
    </row>
    <row r="167" spans="1:19" s="48" customFormat="1" x14ac:dyDescent="0.2">
      <c r="A167" s="49">
        <v>6</v>
      </c>
      <c r="B167" s="53" t="s">
        <v>107</v>
      </c>
      <c r="C167" s="53">
        <v>0.82571785370704287</v>
      </c>
      <c r="D167" s="53">
        <v>3.1384137353113184E-2</v>
      </c>
      <c r="E167" s="53">
        <v>0.30464241990771523</v>
      </c>
      <c r="F167" s="49">
        <v>5920853</v>
      </c>
      <c r="G167" s="49">
        <v>6</v>
      </c>
      <c r="H167" s="53" t="s">
        <v>126</v>
      </c>
      <c r="I167" s="53">
        <v>0</v>
      </c>
      <c r="J167" s="53">
        <v>0</v>
      </c>
      <c r="K167" s="53">
        <v>9.7973201565961232E-3</v>
      </c>
      <c r="L167" s="49">
        <v>11115023</v>
      </c>
      <c r="R167" s="21"/>
      <c r="S167" s="21"/>
    </row>
    <row r="168" spans="1:19" s="48" customFormat="1" x14ac:dyDescent="0.2">
      <c r="A168" s="49">
        <v>7</v>
      </c>
      <c r="B168" s="53"/>
      <c r="C168" s="53">
        <v>0</v>
      </c>
      <c r="D168" s="53">
        <v>0</v>
      </c>
      <c r="E168" s="53">
        <v>0</v>
      </c>
      <c r="F168" s="49"/>
      <c r="G168" s="49">
        <v>7</v>
      </c>
      <c r="H168" s="53" t="s">
        <v>193</v>
      </c>
      <c r="I168" s="53">
        <v>5.488430762224199E-4</v>
      </c>
      <c r="J168" s="53">
        <v>0</v>
      </c>
      <c r="K168" s="53">
        <v>0</v>
      </c>
      <c r="L168" s="49">
        <v>2480382</v>
      </c>
      <c r="R168" s="21"/>
      <c r="S168" s="21"/>
    </row>
    <row r="169" spans="1:19" s="48" customFormat="1" x14ac:dyDescent="0.2">
      <c r="A169" s="49">
        <v>8</v>
      </c>
      <c r="B169" s="53"/>
      <c r="C169" s="53">
        <v>0</v>
      </c>
      <c r="D169" s="53">
        <v>0</v>
      </c>
      <c r="E169" s="53">
        <v>0</v>
      </c>
      <c r="F169" s="49"/>
      <c r="G169" s="49">
        <v>8</v>
      </c>
      <c r="H169" s="53" t="s">
        <v>107</v>
      </c>
      <c r="I169" s="53">
        <v>0.79128377288690932</v>
      </c>
      <c r="J169" s="53">
        <v>2.5483858414190652E-2</v>
      </c>
      <c r="K169" s="53">
        <v>0.46922492845211128</v>
      </c>
      <c r="L169" s="49">
        <v>5920853</v>
      </c>
      <c r="R169" s="21"/>
      <c r="S169" s="21"/>
    </row>
    <row r="170" spans="1:19" s="48" customFormat="1" x14ac:dyDescent="0.2">
      <c r="A170" s="49">
        <v>9</v>
      </c>
      <c r="B170" s="53"/>
      <c r="C170" s="53">
        <v>0</v>
      </c>
      <c r="D170" s="53">
        <v>0</v>
      </c>
      <c r="E170" s="53">
        <v>0</v>
      </c>
      <c r="F170" s="49"/>
      <c r="G170" s="49">
        <v>9</v>
      </c>
      <c r="H170" s="53"/>
      <c r="I170" s="53">
        <v>0</v>
      </c>
      <c r="J170" s="53">
        <v>0</v>
      </c>
      <c r="K170" s="53">
        <v>0</v>
      </c>
      <c r="L170" s="49"/>
      <c r="R170" s="21"/>
      <c r="S170" s="21"/>
    </row>
    <row r="171" spans="1:19" s="48" customFormat="1" x14ac:dyDescent="0.2">
      <c r="A171" s="49">
        <v>10</v>
      </c>
      <c r="B171" s="53"/>
      <c r="C171" s="53">
        <v>0</v>
      </c>
      <c r="D171" s="53">
        <v>0</v>
      </c>
      <c r="E171" s="53">
        <v>0</v>
      </c>
      <c r="F171" s="49"/>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AB33B600-40EA-42BA-817C-445F3FB57D88}">
      <formula1>$C$112:$C$113</formula1>
    </dataValidation>
  </dataValidations>
  <hyperlinks>
    <hyperlink ref="O1:P1" location="Home_page" display="Back to home page" xr:uid="{B890EDB0-EF5E-4E17-A245-B279BFC23B22}"/>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7CDBEFBD-B0A0-42EF-B38B-AF7C0FDCBA8B}">
          <x14:colorSeries rgb="FF323232"/>
          <x14:colorNegative rgb="FFD00000"/>
          <x14:colorAxis rgb="FF000000"/>
          <x14:colorMarkers rgb="FFD00000"/>
          <x14:colorFirst rgb="FFD00000"/>
          <x14:colorLast rgb="FFD00000"/>
          <x14:colorHigh rgb="FFD00000"/>
          <x14:colorLow rgb="FFD00000"/>
          <x14:sparklines>
            <x14:sparkline>
              <xm:f>'NS nephrops under 300kW'!D3:N3</xm:f>
              <xm:sqref>C3</xm:sqref>
            </x14:sparkline>
            <x14:sparkline>
              <xm:f>'NS nephrops under 300kW'!D4:N4</xm:f>
              <xm:sqref>C4</xm:sqref>
            </x14:sparkline>
            <x14:sparkline>
              <xm:f>'NS nephrops under 300kW'!D5:N5</xm:f>
              <xm:sqref>C5</xm:sqref>
            </x14:sparkline>
            <x14:sparkline>
              <xm:f>'NS nephrops under 300kW'!D6:N6</xm:f>
              <xm:sqref>C6</xm:sqref>
            </x14:sparkline>
            <x14:sparkline>
              <xm:f>'NS nephrops under 300kW'!D7:N7</xm:f>
              <xm:sqref>C7</xm:sqref>
            </x14:sparkline>
            <x14:sparkline>
              <xm:f>'NS nephrops under 300kW'!D8:N8</xm:f>
              <xm:sqref>C8</xm:sqref>
            </x14:sparkline>
            <x14:sparkline>
              <xm:f>'NS nephrops under 300kW'!D9:N9</xm:f>
              <xm:sqref>C9</xm:sqref>
            </x14:sparkline>
            <x14:sparkline>
              <xm:f>'NS nephrops under 300kW'!D10:N10</xm:f>
              <xm:sqref>C10</xm:sqref>
            </x14:sparkline>
            <x14:sparkline>
              <xm:f>'NS nephrops under 300kW'!D11:N11</xm:f>
              <xm:sqref>C11</xm:sqref>
            </x14:sparkline>
            <x14:sparkline>
              <xm:f>'NS nephrops under 300kW'!D12:N12</xm:f>
              <xm:sqref>C12</xm:sqref>
            </x14:sparkline>
            <x14:sparkline>
              <xm:f>'NS nephrops under 300kW'!D13:N13</xm:f>
              <xm:sqref>C13</xm:sqref>
            </x14:sparkline>
            <x14:sparkline>
              <xm:f>'NS nephrops under 300kW'!D14:N14</xm:f>
              <xm:sqref>C14</xm:sqref>
            </x14:sparkline>
            <x14:sparkline>
              <xm:f>'NS nephrops under 300kW'!D15:N15</xm:f>
              <xm:sqref>C15</xm:sqref>
            </x14:sparkline>
            <x14:sparkline>
              <xm:f>'NS nephrops under 300kW'!D16:N16</xm:f>
              <xm:sqref>C16</xm:sqref>
            </x14:sparkline>
            <x14:sparkline>
              <xm:f>'NS nephrops under 300kW'!D17:N17</xm:f>
              <xm:sqref>C17</xm:sqref>
            </x14:sparkline>
            <x14:sparkline>
              <xm:f>'NS nephrops under 300kW'!D18:N18</xm:f>
              <xm:sqref>C18</xm:sqref>
            </x14:sparkline>
            <x14:sparkline>
              <xm:f>'NS nephrops under 300kW'!D19:N19</xm:f>
              <xm:sqref>C19</xm:sqref>
            </x14:sparkline>
            <x14:sparkline>
              <xm:f>'NS nephrops under 300kW'!D20:N20</xm:f>
              <xm:sqref>C20</xm:sqref>
            </x14:sparkline>
            <x14:sparkline>
              <xm:f>'NS nephrops under 300kW'!D21:N21</xm:f>
              <xm:sqref>C21</xm:sqref>
            </x14:sparkline>
            <x14:sparkline>
              <xm:f>'NS nephrops under 300kW'!D22:N22</xm:f>
              <xm:sqref>C22</xm:sqref>
            </x14:sparkline>
            <x14:sparkline>
              <xm:f>'NS nephrops under 300kW'!D23:N23</xm:f>
              <xm:sqref>C23</xm:sqref>
            </x14:sparkline>
            <x14:sparkline>
              <xm:f>'NS nephrops under 300kW'!D24:N24</xm:f>
              <xm:sqref>C24</xm:sqref>
            </x14:sparkline>
            <x14:sparkline>
              <xm:f>'NS nephrops under 300kW'!D25:N25</xm:f>
              <xm:sqref>C25</xm:sqref>
            </x14:sparkline>
            <x14:sparkline>
              <xm:f>'NS nephrops under 300kW'!D26:N26</xm:f>
              <xm:sqref>C26</xm:sqref>
            </x14:sparkline>
            <x14:sparkline>
              <xm:f>'NS nephrops under 300kW'!D27:N27</xm:f>
              <xm:sqref>C27</xm:sqref>
            </x14:sparkline>
            <x14:sparkline>
              <xm:f>'NS nephrops under 300kW'!D28:N28</xm:f>
              <xm:sqref>C28</xm:sqref>
            </x14:sparkline>
            <x14:sparkline>
              <xm:f>'NS nephrops under 300kW'!D29:N29</xm:f>
              <xm:sqref>C29</xm:sqref>
            </x14:sparkline>
            <x14:sparkline>
              <xm:f>'NS nephrops under 300kW'!D30:N30</xm:f>
              <xm:sqref>C30</xm:sqref>
            </x14:sparkline>
            <x14:sparkline>
              <xm:f>'NS nephrops under 300kW'!D31:N31</xm:f>
              <xm:sqref>C31</xm:sqref>
            </x14:sparkline>
            <x14:sparkline>
              <xm:f>'NS nephrops under 300kW'!D32:N32</xm:f>
              <xm:sqref>C32</xm:sqref>
            </x14:sparkline>
            <x14:sparkline>
              <xm:f>'NS nephrops under 300kW'!D33:N33</xm:f>
              <xm:sqref>C33</xm:sqref>
            </x14:sparkline>
            <x14:sparkline>
              <xm:f>'NS nephrops under 300kW'!D34:N34</xm:f>
              <xm:sqref>C34</xm:sqref>
            </x14:sparkline>
            <x14:sparkline>
              <xm:f>'NS nephrops under 300kW'!D35:N35</xm:f>
              <xm:sqref>C35</xm:sqref>
            </x14:sparkline>
            <x14:sparkline>
              <xm:f>'NS nephrops under 300kW'!D36:N36</xm:f>
              <xm:sqref>C36</xm:sqref>
            </x14:sparkline>
            <x14:sparkline>
              <xm:f>'NS nephrops under 300kW'!D37:N37</xm:f>
              <xm:sqref>C37</xm:sqref>
            </x14:sparkline>
            <x14:sparkline>
              <xm:f>'NS nephrops under 300kW'!D38:N38</xm:f>
              <xm:sqref>C38</xm:sqref>
            </x14:sparkline>
            <x14:sparkline>
              <xm:f>'NS nephrops under 300kW'!D39:N39</xm:f>
              <xm:sqref>C39</xm:sqref>
            </x14:sparkline>
            <x14:sparkline>
              <xm:f>'NS nephrops under 300kW'!D40:N40</xm:f>
              <xm:sqref>C40</xm:sqref>
            </x14:sparkline>
            <x14:sparkline>
              <xm:f>'NS nephrops under 300kW'!D41:N41</xm:f>
              <xm:sqref>C41</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8DCEE-7822-4058-B71D-8B80CE455598}">
  <sheetPr codeName="Feuil44">
    <pageSetUpPr fitToPage="1"/>
  </sheetPr>
  <dimension ref="A1:C85"/>
  <sheetViews>
    <sheetView zoomScale="115" zoomScaleNormal="115" zoomScalePageLayoutView="90" workbookViewId="0"/>
  </sheetViews>
  <sheetFormatPr defaultColWidth="9" defaultRowHeight="12.75" x14ac:dyDescent="0.2"/>
  <cols>
    <col min="1" max="1" width="9" style="3"/>
    <col min="2" max="2" width="72.125" style="3" customWidth="1"/>
    <col min="3" max="16384" width="9" style="3"/>
  </cols>
  <sheetData>
    <row r="1" spans="1:3" ht="39.75" customHeight="1" thickBot="1" x14ac:dyDescent="0.25">
      <c r="A1" s="158" t="s">
        <v>607</v>
      </c>
      <c r="B1" s="155"/>
      <c r="C1" s="152" t="s">
        <v>3</v>
      </c>
    </row>
    <row r="2" spans="1:3" ht="64.5" customHeight="1" x14ac:dyDescent="0.2">
      <c r="A2" s="172" t="s">
        <v>608</v>
      </c>
      <c r="B2" s="172"/>
      <c r="C2" s="172"/>
    </row>
    <row r="3" spans="1:3" ht="15" x14ac:dyDescent="0.2">
      <c r="A3" s="156"/>
      <c r="B3" s="156"/>
      <c r="C3" s="156"/>
    </row>
    <row r="4" spans="1:3" ht="15" customHeight="1" x14ac:dyDescent="0.2">
      <c r="A4" s="177" t="s">
        <v>609</v>
      </c>
      <c r="B4" s="177"/>
      <c r="C4" s="177"/>
    </row>
    <row r="5" spans="1:3" ht="15.75" customHeight="1" x14ac:dyDescent="0.2">
      <c r="A5" s="172" t="s">
        <v>610</v>
      </c>
      <c r="B5" s="172"/>
      <c r="C5" s="172"/>
    </row>
    <row r="6" spans="1:3" ht="30.75" customHeight="1" x14ac:dyDescent="0.2">
      <c r="A6" s="172" t="s">
        <v>611</v>
      </c>
      <c r="B6" s="172"/>
      <c r="C6" s="172"/>
    </row>
    <row r="7" spans="1:3" ht="25.5" customHeight="1" x14ac:dyDescent="0.2">
      <c r="A7" s="172" t="s">
        <v>612</v>
      </c>
      <c r="B7" s="172"/>
      <c r="C7" s="172"/>
    </row>
    <row r="8" spans="1:3" ht="50.25" customHeight="1" x14ac:dyDescent="0.2">
      <c r="A8" s="172" t="s">
        <v>613</v>
      </c>
      <c r="B8" s="172"/>
      <c r="C8" s="172"/>
    </row>
    <row r="9" spans="1:3" ht="15" x14ac:dyDescent="0.2">
      <c r="A9" s="156"/>
      <c r="B9" s="156"/>
      <c r="C9" s="156"/>
    </row>
    <row r="10" spans="1:3" ht="15" customHeight="1" x14ac:dyDescent="0.25">
      <c r="A10" s="178" t="s">
        <v>44</v>
      </c>
      <c r="B10" s="178"/>
      <c r="C10" s="156"/>
    </row>
    <row r="11" spans="1:3" ht="27" customHeight="1" x14ac:dyDescent="0.25">
      <c r="A11" s="179" t="s">
        <v>614</v>
      </c>
      <c r="B11" s="179"/>
      <c r="C11" s="179"/>
    </row>
    <row r="12" spans="1:3" ht="15" customHeight="1" x14ac:dyDescent="0.25">
      <c r="A12" s="179" t="s">
        <v>615</v>
      </c>
      <c r="B12" s="179"/>
      <c r="C12" s="156"/>
    </row>
    <row r="13" spans="1:3" ht="15" customHeight="1" x14ac:dyDescent="0.25">
      <c r="A13" s="179" t="s">
        <v>616</v>
      </c>
      <c r="B13" s="179"/>
      <c r="C13" s="179"/>
    </row>
    <row r="14" spans="1:3" ht="15" customHeight="1" x14ac:dyDescent="0.25">
      <c r="A14" s="157"/>
      <c r="B14" s="157"/>
      <c r="C14" s="157"/>
    </row>
    <row r="15" spans="1:3" ht="15" x14ac:dyDescent="0.2">
      <c r="A15" s="156"/>
      <c r="B15" s="156"/>
      <c r="C15" s="156"/>
    </row>
    <row r="16" spans="1:3" ht="15" x14ac:dyDescent="0.25">
      <c r="A16" s="180" t="s">
        <v>617</v>
      </c>
      <c r="B16" s="180"/>
      <c r="C16" s="180"/>
    </row>
    <row r="17" spans="1:3" ht="45" customHeight="1" x14ac:dyDescent="0.2">
      <c r="A17" s="172" t="s">
        <v>618</v>
      </c>
      <c r="B17" s="172"/>
      <c r="C17" s="172"/>
    </row>
    <row r="18" spans="1:3" x14ac:dyDescent="0.2">
      <c r="A18" s="169"/>
      <c r="B18" s="169"/>
      <c r="C18" s="169"/>
    </row>
    <row r="19" spans="1:3" ht="45" customHeight="1" x14ac:dyDescent="0.2">
      <c r="A19" s="172" t="s">
        <v>619</v>
      </c>
      <c r="B19" s="172"/>
      <c r="C19" s="172"/>
    </row>
    <row r="20" spans="1:3" x14ac:dyDescent="0.2">
      <c r="A20" s="169"/>
      <c r="B20" s="169"/>
      <c r="C20" s="169"/>
    </row>
    <row r="21" spans="1:3" ht="32.25" customHeight="1" x14ac:dyDescent="0.2">
      <c r="A21" s="172" t="s">
        <v>620</v>
      </c>
      <c r="B21" s="172"/>
      <c r="C21" s="172"/>
    </row>
    <row r="22" spans="1:3" x14ac:dyDescent="0.2">
      <c r="A22" s="169"/>
      <c r="B22" s="169"/>
      <c r="C22" s="169"/>
    </row>
    <row r="23" spans="1:3" ht="40.5" customHeight="1" x14ac:dyDescent="0.2">
      <c r="A23" s="172" t="s">
        <v>621</v>
      </c>
      <c r="B23" s="172"/>
      <c r="C23" s="172"/>
    </row>
    <row r="24" spans="1:3" x14ac:dyDescent="0.2">
      <c r="A24" s="169"/>
      <c r="B24" s="169"/>
      <c r="C24" s="169"/>
    </row>
    <row r="25" spans="1:3" ht="36.75" customHeight="1" x14ac:dyDescent="0.2">
      <c r="A25" s="172" t="s">
        <v>622</v>
      </c>
      <c r="B25" s="172"/>
      <c r="C25" s="172"/>
    </row>
    <row r="26" spans="1:3" x14ac:dyDescent="0.2">
      <c r="A26" s="169"/>
      <c r="B26" s="169"/>
      <c r="C26" s="169"/>
    </row>
    <row r="27" spans="1:3" ht="28.5" customHeight="1" x14ac:dyDescent="0.2">
      <c r="A27" s="173" t="s">
        <v>623</v>
      </c>
      <c r="B27" s="173"/>
      <c r="C27" s="173"/>
    </row>
    <row r="28" spans="1:3" x14ac:dyDescent="0.2">
      <c r="A28" s="169"/>
      <c r="B28" s="169"/>
      <c r="C28" s="169"/>
    </row>
    <row r="29" spans="1:3" ht="27.75" customHeight="1" x14ac:dyDescent="0.2">
      <c r="A29" s="173" t="s">
        <v>624</v>
      </c>
      <c r="B29" s="173"/>
      <c r="C29" s="173"/>
    </row>
    <row r="30" spans="1:3" x14ac:dyDescent="0.2">
      <c r="A30" s="169"/>
      <c r="B30" s="169"/>
      <c r="C30" s="169"/>
    </row>
    <row r="31" spans="1:3" ht="38.25" customHeight="1" x14ac:dyDescent="0.2">
      <c r="A31" s="173" t="s">
        <v>625</v>
      </c>
      <c r="B31" s="173"/>
      <c r="C31" s="173"/>
    </row>
    <row r="32" spans="1:3" x14ac:dyDescent="0.2">
      <c r="A32" s="169"/>
      <c r="B32" s="169"/>
      <c r="C32" s="169"/>
    </row>
    <row r="33" spans="1:3" ht="24" customHeight="1" x14ac:dyDescent="0.2">
      <c r="A33" s="174" t="s">
        <v>626</v>
      </c>
      <c r="B33" s="174"/>
      <c r="C33" s="174"/>
    </row>
    <row r="34" spans="1:3" ht="30.75" customHeight="1" x14ac:dyDescent="0.2">
      <c r="A34" s="175" t="s">
        <v>627</v>
      </c>
      <c r="B34" s="175"/>
      <c r="C34" s="175"/>
    </row>
    <row r="35" spans="1:3" ht="27.75" customHeight="1" x14ac:dyDescent="0.2">
      <c r="A35" s="176" t="s">
        <v>628</v>
      </c>
      <c r="B35" s="176"/>
      <c r="C35" s="176"/>
    </row>
    <row r="36" spans="1:3" ht="63" customHeight="1" x14ac:dyDescent="0.2">
      <c r="A36" s="174" t="s">
        <v>629</v>
      </c>
      <c r="B36" s="174"/>
      <c r="C36" s="174"/>
    </row>
    <row r="37" spans="1:3" ht="38.25" customHeight="1" x14ac:dyDescent="0.2">
      <c r="A37" s="174" t="s">
        <v>630</v>
      </c>
      <c r="B37" s="174"/>
      <c r="C37" s="174"/>
    </row>
    <row r="38" spans="1:3" ht="15" customHeight="1" x14ac:dyDescent="0.2">
      <c r="A38" s="169"/>
      <c r="B38" s="169"/>
      <c r="C38" s="169"/>
    </row>
    <row r="39" spans="1:3" ht="12.75" customHeight="1" x14ac:dyDescent="0.2">
      <c r="A39" s="173" t="s">
        <v>631</v>
      </c>
      <c r="B39" s="173"/>
      <c r="C39" s="173"/>
    </row>
    <row r="40" spans="1:3" x14ac:dyDescent="0.2">
      <c r="A40" s="169"/>
      <c r="B40" s="169"/>
      <c r="C40" s="169"/>
    </row>
    <row r="41" spans="1:3" ht="39" customHeight="1" x14ac:dyDescent="0.2">
      <c r="A41" s="172" t="s">
        <v>632</v>
      </c>
      <c r="B41" s="172"/>
      <c r="C41" s="172"/>
    </row>
    <row r="42" spans="1:3" ht="15" x14ac:dyDescent="0.2">
      <c r="A42" s="156"/>
      <c r="B42" s="156"/>
      <c r="C42" s="156"/>
    </row>
    <row r="43" spans="1:3" ht="15" x14ac:dyDescent="0.25">
      <c r="A43" s="170" t="s">
        <v>633</v>
      </c>
      <c r="B43" s="170"/>
      <c r="C43" s="170"/>
    </row>
    <row r="44" spans="1:3" ht="77.25" customHeight="1" x14ac:dyDescent="0.2">
      <c r="A44" s="171" t="s">
        <v>634</v>
      </c>
      <c r="B44" s="171"/>
      <c r="C44" s="171"/>
    </row>
    <row r="45" spans="1:3" ht="19.5" customHeight="1" x14ac:dyDescent="0.2">
      <c r="A45" s="169"/>
      <c r="B45" s="169"/>
      <c r="C45" s="169"/>
    </row>
    <row r="46" spans="1:3" ht="79.5" customHeight="1" x14ac:dyDescent="0.2">
      <c r="A46" s="172" t="s">
        <v>635</v>
      </c>
      <c r="B46" s="172"/>
      <c r="C46" s="172"/>
    </row>
    <row r="47" spans="1:3" x14ac:dyDescent="0.2">
      <c r="A47" s="169"/>
      <c r="B47" s="169"/>
      <c r="C47" s="169"/>
    </row>
    <row r="48" spans="1:3" ht="49.5" customHeight="1" x14ac:dyDescent="0.2">
      <c r="A48" s="172" t="s">
        <v>636</v>
      </c>
      <c r="B48" s="172"/>
      <c r="C48" s="172"/>
    </row>
    <row r="49" spans="1:3" x14ac:dyDescent="0.2">
      <c r="A49" s="169"/>
      <c r="B49" s="169"/>
      <c r="C49" s="169"/>
    </row>
    <row r="50" spans="1:3" x14ac:dyDescent="0.2">
      <c r="A50" s="169"/>
      <c r="B50" s="169"/>
      <c r="C50" s="169"/>
    </row>
    <row r="51" spans="1:3" x14ac:dyDescent="0.2">
      <c r="A51" s="169"/>
      <c r="B51" s="169"/>
      <c r="C51" s="169"/>
    </row>
    <row r="52" spans="1:3" x14ac:dyDescent="0.2">
      <c r="A52" s="169"/>
      <c r="B52" s="169"/>
      <c r="C52" s="169"/>
    </row>
    <row r="53" spans="1:3" x14ac:dyDescent="0.2">
      <c r="A53" s="169"/>
      <c r="B53" s="169"/>
      <c r="C53" s="169"/>
    </row>
    <row r="54" spans="1:3" x14ac:dyDescent="0.2">
      <c r="A54" s="169"/>
      <c r="B54" s="169"/>
      <c r="C54" s="169"/>
    </row>
    <row r="55" spans="1:3" x14ac:dyDescent="0.2">
      <c r="A55" s="169"/>
      <c r="B55" s="169"/>
      <c r="C55" s="169"/>
    </row>
    <row r="56" spans="1:3" x14ac:dyDescent="0.2">
      <c r="A56" s="169"/>
      <c r="B56" s="169"/>
      <c r="C56" s="169"/>
    </row>
    <row r="57" spans="1:3" x14ac:dyDescent="0.2">
      <c r="A57" s="169"/>
      <c r="B57" s="169"/>
      <c r="C57" s="169"/>
    </row>
    <row r="58" spans="1:3" x14ac:dyDescent="0.2">
      <c r="A58" s="169"/>
      <c r="B58" s="169"/>
      <c r="C58" s="169"/>
    </row>
    <row r="59" spans="1:3" x14ac:dyDescent="0.2">
      <c r="A59" s="169"/>
      <c r="B59" s="169"/>
      <c r="C59" s="169"/>
    </row>
    <row r="60" spans="1:3" x14ac:dyDescent="0.2">
      <c r="A60" s="169"/>
      <c r="B60" s="169"/>
      <c r="C60" s="169"/>
    </row>
    <row r="61" spans="1:3" x14ac:dyDescent="0.2">
      <c r="A61" s="169"/>
      <c r="B61" s="169"/>
      <c r="C61" s="169"/>
    </row>
    <row r="62" spans="1:3" x14ac:dyDescent="0.2">
      <c r="A62" s="169"/>
      <c r="B62" s="169"/>
      <c r="C62" s="169"/>
    </row>
    <row r="63" spans="1:3" x14ac:dyDescent="0.2">
      <c r="A63" s="169"/>
      <c r="B63" s="169"/>
      <c r="C63" s="169"/>
    </row>
    <row r="64" spans="1:3" x14ac:dyDescent="0.2">
      <c r="A64" s="169"/>
      <c r="B64" s="169"/>
      <c r="C64" s="169"/>
    </row>
    <row r="65" spans="1:3" x14ac:dyDescent="0.2">
      <c r="A65" s="169"/>
      <c r="B65" s="169"/>
      <c r="C65" s="169"/>
    </row>
    <row r="66" spans="1:3" x14ac:dyDescent="0.2">
      <c r="A66" s="169"/>
      <c r="B66" s="169"/>
      <c r="C66" s="169"/>
    </row>
    <row r="67" spans="1:3" x14ac:dyDescent="0.2">
      <c r="A67" s="169"/>
      <c r="B67" s="169"/>
      <c r="C67" s="169"/>
    </row>
    <row r="68" spans="1:3" x14ac:dyDescent="0.2">
      <c r="A68" s="169"/>
      <c r="B68" s="169"/>
      <c r="C68" s="169"/>
    </row>
    <row r="69" spans="1:3" x14ac:dyDescent="0.2">
      <c r="A69" s="169"/>
      <c r="B69" s="169"/>
      <c r="C69" s="169"/>
    </row>
    <row r="70" spans="1:3" x14ac:dyDescent="0.2">
      <c r="A70" s="169"/>
      <c r="B70" s="169"/>
      <c r="C70" s="169"/>
    </row>
    <row r="71" spans="1:3" x14ac:dyDescent="0.2">
      <c r="A71" s="169"/>
      <c r="B71" s="169"/>
      <c r="C71" s="169"/>
    </row>
    <row r="72" spans="1:3" x14ac:dyDescent="0.2">
      <c r="A72" s="169"/>
      <c r="B72" s="169"/>
      <c r="C72" s="169"/>
    </row>
    <row r="73" spans="1:3" x14ac:dyDescent="0.2">
      <c r="A73" s="169"/>
      <c r="B73" s="169"/>
      <c r="C73" s="169"/>
    </row>
    <row r="74" spans="1:3" x14ac:dyDescent="0.2">
      <c r="A74" s="169"/>
      <c r="B74" s="169"/>
      <c r="C74" s="169"/>
    </row>
    <row r="75" spans="1:3" x14ac:dyDescent="0.2">
      <c r="A75" s="169"/>
      <c r="B75" s="169"/>
      <c r="C75" s="169"/>
    </row>
    <row r="76" spans="1:3" x14ac:dyDescent="0.2">
      <c r="A76" s="169"/>
      <c r="B76" s="169"/>
      <c r="C76" s="169"/>
    </row>
    <row r="77" spans="1:3" x14ac:dyDescent="0.2">
      <c r="A77" s="169"/>
      <c r="B77" s="169"/>
      <c r="C77" s="169"/>
    </row>
    <row r="78" spans="1:3" x14ac:dyDescent="0.2">
      <c r="A78" s="169"/>
      <c r="B78" s="169"/>
      <c r="C78" s="169"/>
    </row>
    <row r="79" spans="1:3" x14ac:dyDescent="0.2">
      <c r="A79" s="169"/>
      <c r="B79" s="169"/>
      <c r="C79" s="169"/>
    </row>
    <row r="80" spans="1:3" x14ac:dyDescent="0.2">
      <c r="A80" s="169"/>
      <c r="B80" s="169"/>
      <c r="C80" s="169"/>
    </row>
    <row r="81" spans="1:3" x14ac:dyDescent="0.2">
      <c r="A81" s="169"/>
      <c r="B81" s="169"/>
      <c r="C81" s="169"/>
    </row>
    <row r="82" spans="1:3" x14ac:dyDescent="0.2">
      <c r="A82" s="169"/>
      <c r="B82" s="169"/>
      <c r="C82" s="169"/>
    </row>
    <row r="83" spans="1:3" x14ac:dyDescent="0.2">
      <c r="A83" s="169"/>
      <c r="B83" s="169"/>
      <c r="C83" s="169"/>
    </row>
    <row r="84" spans="1:3" x14ac:dyDescent="0.2">
      <c r="A84" s="169"/>
      <c r="B84" s="169"/>
      <c r="C84" s="169"/>
    </row>
    <row r="85" spans="1:3" x14ac:dyDescent="0.2">
      <c r="A85" s="169"/>
      <c r="B85" s="169"/>
      <c r="C85" s="169"/>
    </row>
  </sheetData>
  <mergeCells count="79">
    <mergeCell ref="A17:C17"/>
    <mergeCell ref="A2:C2"/>
    <mergeCell ref="A4:C4"/>
    <mergeCell ref="A5:C5"/>
    <mergeCell ref="A6:C6"/>
    <mergeCell ref="A7:C7"/>
    <mergeCell ref="A8:C8"/>
    <mergeCell ref="A10:B10"/>
    <mergeCell ref="A11:C11"/>
    <mergeCell ref="A12:B12"/>
    <mergeCell ref="A13:C13"/>
    <mergeCell ref="A16:C16"/>
    <mergeCell ref="A29:C29"/>
    <mergeCell ref="A18:C18"/>
    <mergeCell ref="A19:C19"/>
    <mergeCell ref="A20:C20"/>
    <mergeCell ref="A21:C21"/>
    <mergeCell ref="A22:C22"/>
    <mergeCell ref="A23:C23"/>
    <mergeCell ref="A24:C24"/>
    <mergeCell ref="A25:C25"/>
    <mergeCell ref="A26:C26"/>
    <mergeCell ref="A27:C27"/>
    <mergeCell ref="A28:C28"/>
    <mergeCell ref="A41:C41"/>
    <mergeCell ref="A30:C30"/>
    <mergeCell ref="A31:C31"/>
    <mergeCell ref="A32:C32"/>
    <mergeCell ref="A33:C33"/>
    <mergeCell ref="A34:C34"/>
    <mergeCell ref="A35:C35"/>
    <mergeCell ref="A36:C36"/>
    <mergeCell ref="A37:C37"/>
    <mergeCell ref="A38:C38"/>
    <mergeCell ref="A39:C39"/>
    <mergeCell ref="A40:C40"/>
    <mergeCell ref="A54:C54"/>
    <mergeCell ref="A43:C43"/>
    <mergeCell ref="A44:C44"/>
    <mergeCell ref="A45:C45"/>
    <mergeCell ref="A46:C46"/>
    <mergeCell ref="A47:C47"/>
    <mergeCell ref="A48:C48"/>
    <mergeCell ref="A49:C49"/>
    <mergeCell ref="A50:C50"/>
    <mergeCell ref="A51:C51"/>
    <mergeCell ref="A52:C52"/>
    <mergeCell ref="A53:C53"/>
    <mergeCell ref="A66:C66"/>
    <mergeCell ref="A55:C55"/>
    <mergeCell ref="A56:C56"/>
    <mergeCell ref="A57:C57"/>
    <mergeCell ref="A58:C58"/>
    <mergeCell ref="A59:C59"/>
    <mergeCell ref="A60:C60"/>
    <mergeCell ref="A61:C61"/>
    <mergeCell ref="A62:C62"/>
    <mergeCell ref="A63:C63"/>
    <mergeCell ref="A64:C64"/>
    <mergeCell ref="A65:C65"/>
    <mergeCell ref="A78:C78"/>
    <mergeCell ref="A67:C67"/>
    <mergeCell ref="A68:C68"/>
    <mergeCell ref="A69:C69"/>
    <mergeCell ref="A70:C70"/>
    <mergeCell ref="A71:C71"/>
    <mergeCell ref="A72:C72"/>
    <mergeCell ref="A73:C73"/>
    <mergeCell ref="A74:C74"/>
    <mergeCell ref="A75:C75"/>
    <mergeCell ref="A76:C76"/>
    <mergeCell ref="A77:C77"/>
    <mergeCell ref="A85:C85"/>
    <mergeCell ref="A79:C79"/>
    <mergeCell ref="A80:C80"/>
    <mergeCell ref="A81:C81"/>
    <mergeCell ref="A82:C82"/>
    <mergeCell ref="A83:C83"/>
    <mergeCell ref="A84:C84"/>
  </mergeCells>
  <hyperlinks>
    <hyperlink ref="C1" location="Home_page" display="Back to_x000a_home page" xr:uid="{8919B575-F151-4B5D-ADCE-015EB6F619AD}"/>
  </hyperlinks>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4FF64-C924-4BBA-93CE-F75CFE6DAF03}">
  <sheetPr codeName="Feuil21">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316</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45</v>
      </c>
      <c r="E3" s="28">
        <v>46</v>
      </c>
      <c r="F3" s="28">
        <v>49</v>
      </c>
      <c r="G3" s="28">
        <v>36</v>
      </c>
      <c r="H3" s="28">
        <v>43</v>
      </c>
      <c r="I3" s="28">
        <v>44</v>
      </c>
      <c r="J3" s="28">
        <v>43</v>
      </c>
      <c r="K3" s="28">
        <v>45</v>
      </c>
      <c r="L3" s="28">
        <v>42</v>
      </c>
      <c r="M3" s="28">
        <v>41</v>
      </c>
      <c r="N3" s="28">
        <v>39</v>
      </c>
      <c r="O3" s="29">
        <f t="shared" ref="O3:O41" si="0">IF(N3=0,"",IFERROR(IF(AND(N3&gt;0,D3&lt;0),"na",IF(AND(N3&lt;0,D3&lt;0),-1,1)*(N3-D3)/D3),""))</f>
        <v>-0.13333333333333333</v>
      </c>
      <c r="P3" s="29">
        <f t="shared" ref="P3:P41" si="1">IF(N3=0,"",IFERROR(IF(AND(N3&gt;0,J3&lt;0),"na",IF(AND(N3&lt;0,J3&lt;0),-1,1)*(N3-J3)/J3),""))</f>
        <v>-9.3023255813953487E-2</v>
      </c>
    </row>
    <row r="4" spans="1:17" ht="18" customHeight="1" x14ac:dyDescent="0.2">
      <c r="A4" s="193"/>
      <c r="B4" s="30" t="s">
        <v>55</v>
      </c>
      <c r="C4" s="31"/>
      <c r="D4" s="31">
        <v>40369</v>
      </c>
      <c r="E4" s="31">
        <v>41051</v>
      </c>
      <c r="F4" s="31">
        <v>37831</v>
      </c>
      <c r="G4" s="31">
        <v>30580</v>
      </c>
      <c r="H4" s="31">
        <v>35516</v>
      </c>
      <c r="I4" s="31">
        <v>36598</v>
      </c>
      <c r="J4" s="31">
        <v>36214</v>
      </c>
      <c r="K4" s="31">
        <v>36175</v>
      </c>
      <c r="L4" s="31">
        <v>34133</v>
      </c>
      <c r="M4" s="31">
        <v>32229</v>
      </c>
      <c r="N4" s="31">
        <v>31159</v>
      </c>
      <c r="O4" s="29">
        <f t="shared" si="0"/>
        <v>-0.22814535906264707</v>
      </c>
      <c r="P4" s="29">
        <f t="shared" si="1"/>
        <v>-0.13958690009388633</v>
      </c>
    </row>
    <row r="5" spans="1:17" ht="18" customHeight="1" x14ac:dyDescent="0.2">
      <c r="A5" s="193"/>
      <c r="B5" s="30" t="s">
        <v>56</v>
      </c>
      <c r="C5" s="31"/>
      <c r="D5" s="31">
        <v>16539</v>
      </c>
      <c r="E5" s="31">
        <v>16533</v>
      </c>
      <c r="F5" s="31">
        <v>15862</v>
      </c>
      <c r="G5" s="31">
        <v>12506</v>
      </c>
      <c r="H5" s="31">
        <v>14482</v>
      </c>
      <c r="I5" s="31">
        <v>15000</v>
      </c>
      <c r="J5" s="31">
        <v>14868</v>
      </c>
      <c r="K5" s="31">
        <v>14989</v>
      </c>
      <c r="L5" s="31">
        <v>14595</v>
      </c>
      <c r="M5" s="31">
        <v>14348</v>
      </c>
      <c r="N5" s="31">
        <v>13982</v>
      </c>
      <c r="O5" s="29">
        <f t="shared" si="0"/>
        <v>-0.15460426869822844</v>
      </c>
      <c r="P5" s="29">
        <f t="shared" si="1"/>
        <v>-5.9591068065644334E-2</v>
      </c>
      <c r="Q5" s="32"/>
    </row>
    <row r="6" spans="1:17" ht="18" customHeight="1" x14ac:dyDescent="0.2">
      <c r="A6" s="193"/>
      <c r="B6" s="30" t="s">
        <v>57</v>
      </c>
      <c r="C6" s="31"/>
      <c r="D6" s="31">
        <v>29820.744140625</v>
      </c>
      <c r="E6" s="31">
        <v>30268.076171875</v>
      </c>
      <c r="F6" s="31">
        <v>28753.75</v>
      </c>
      <c r="G6" s="31">
        <v>22699.40234375</v>
      </c>
      <c r="H6" s="31">
        <v>26352.083984375</v>
      </c>
      <c r="I6" s="31">
        <v>27184.373046875</v>
      </c>
      <c r="J6" s="31">
        <v>26887.015625</v>
      </c>
      <c r="K6" s="31">
        <v>27049.474609375</v>
      </c>
      <c r="L6" s="31">
        <v>23904.42578125</v>
      </c>
      <c r="M6" s="31">
        <v>20121.638671875</v>
      </c>
      <c r="N6" s="31">
        <v>18470.26171875</v>
      </c>
      <c r="O6" s="29">
        <f t="shared" si="0"/>
        <v>-0.38062371510079662</v>
      </c>
      <c r="P6" s="29">
        <f t="shared" si="1"/>
        <v>-0.31304158199037757</v>
      </c>
    </row>
    <row r="7" spans="1:17" ht="18" customHeight="1" x14ac:dyDescent="0.2">
      <c r="A7" s="193"/>
      <c r="B7" s="30" t="s">
        <v>58</v>
      </c>
      <c r="C7" s="31"/>
      <c r="D7" s="31">
        <v>39307.04296875</v>
      </c>
      <c r="E7" s="31">
        <v>41615.58984375</v>
      </c>
      <c r="F7" s="31">
        <v>50459.36328125</v>
      </c>
      <c r="G7" s="31">
        <v>40113.359375</v>
      </c>
      <c r="H7" s="31">
        <v>43756.546875</v>
      </c>
      <c r="I7" s="31">
        <v>49764.796875</v>
      </c>
      <c r="J7" s="31">
        <v>47708.02734375</v>
      </c>
      <c r="K7" s="31">
        <v>50995.24609375</v>
      </c>
      <c r="L7" s="31">
        <v>46166.015625</v>
      </c>
      <c r="M7" s="31">
        <v>34542.6328125</v>
      </c>
      <c r="N7" s="31">
        <v>36072.08203125</v>
      </c>
      <c r="O7" s="29">
        <f t="shared" si="0"/>
        <v>-8.2299778695432979E-2</v>
      </c>
      <c r="P7" s="29">
        <f t="shared" si="1"/>
        <v>-0.24389910797735739</v>
      </c>
    </row>
    <row r="8" spans="1:17" ht="18" customHeight="1" x14ac:dyDescent="0.2">
      <c r="A8" s="193"/>
      <c r="B8" s="30" t="s">
        <v>59</v>
      </c>
      <c r="C8" s="33"/>
      <c r="D8" s="33">
        <f ca="1">82.675216*OFFSET(D$112,MATCH($N$1,$C$112:$C$113,0)-1,0)</f>
        <v>82.675216000000006</v>
      </c>
      <c r="E8" s="33">
        <f ca="1">75.938728*OFFSET(E$112,MATCH($N$1,$C$112:$C$113,0)-1,0)</f>
        <v>75.938727999999998</v>
      </c>
      <c r="F8" s="33">
        <f ca="1">83.051992*OFFSET(F$112,MATCH($N$1,$C$112:$C$113,0)-1,0)</f>
        <v>83.051991999999998</v>
      </c>
      <c r="G8" s="33">
        <f ca="1">72.31984*OFFSET(G$112,MATCH($N$1,$C$112:$C$113,0)-1,0)</f>
        <v>72.319839999999999</v>
      </c>
      <c r="H8" s="33">
        <f ca="1">76.697864*OFFSET(H$112,MATCH($N$1,$C$112:$C$113,0)-1,0)</f>
        <v>76.697863999999996</v>
      </c>
      <c r="I8" s="33">
        <f ca="1">95.389064*OFFSET(I$112,MATCH($N$1,$C$112:$C$113,0)-1,0)</f>
        <v>95.389064000000005</v>
      </c>
      <c r="J8" s="33">
        <f ca="1">99.317056*OFFSET(J$112,MATCH($N$1,$C$112:$C$113,0)-1,0)</f>
        <v>99.317055999999994</v>
      </c>
      <c r="K8" s="33">
        <f ca="1">108.054192*OFFSET(K$112,MATCH($N$1,$C$112:$C$113,0)-1,0)</f>
        <v>108.054192</v>
      </c>
      <c r="L8" s="33">
        <f ca="1">96.520256*OFFSET(L$112,MATCH($N$1,$C$112:$C$113,0)-1,0)</f>
        <v>96.520256000000003</v>
      </c>
      <c r="M8" s="33">
        <f ca="1">62.126496*OFFSET(M$112,MATCH($N$1,$C$112:$C$113,0)-1,0)</f>
        <v>62.126496000000003</v>
      </c>
      <c r="N8" s="33">
        <v>65.815075999999991</v>
      </c>
      <c r="O8" s="29">
        <f t="shared" ca="1" si="0"/>
        <v>-0.20393221591341248</v>
      </c>
      <c r="P8" s="29">
        <f t="shared" ca="1" si="1"/>
        <v>-0.33732353081428434</v>
      </c>
    </row>
    <row r="9" spans="1:17" ht="18" customHeight="1" x14ac:dyDescent="0.2">
      <c r="A9" s="193"/>
      <c r="B9" s="30" t="s">
        <v>60</v>
      </c>
      <c r="C9" s="31"/>
      <c r="D9" s="31">
        <v>9800</v>
      </c>
      <c r="E9" s="31">
        <v>9216</v>
      </c>
      <c r="F9" s="31">
        <v>9630</v>
      </c>
      <c r="G9" s="31">
        <v>7752</v>
      </c>
      <c r="H9" s="31">
        <v>8957</v>
      </c>
      <c r="I9" s="31">
        <v>9082</v>
      </c>
      <c r="J9" s="31">
        <v>8406</v>
      </c>
      <c r="K9" s="31">
        <v>10210</v>
      </c>
      <c r="L9" s="31">
        <v>9127</v>
      </c>
      <c r="M9" s="31">
        <v>7924</v>
      </c>
      <c r="N9" s="31">
        <v>7950</v>
      </c>
      <c r="O9" s="29">
        <f t="shared" si="0"/>
        <v>-0.18877551020408162</v>
      </c>
      <c r="P9" s="29">
        <f t="shared" si="1"/>
        <v>-5.4246966452533907E-2</v>
      </c>
    </row>
    <row r="10" spans="1:17" ht="18" customHeight="1" x14ac:dyDescent="0.2">
      <c r="A10" s="193"/>
      <c r="B10" s="30" t="s">
        <v>61</v>
      </c>
      <c r="C10" s="31"/>
      <c r="D10" s="31">
        <v>722.77117919921875</v>
      </c>
      <c r="E10" s="31">
        <v>647.1634521484375</v>
      </c>
      <c r="F10" s="31">
        <v>617.941162109375</v>
      </c>
      <c r="G10" s="31">
        <v>419.49554443359375</v>
      </c>
      <c r="H10" s="31">
        <v>552.89031982421875</v>
      </c>
      <c r="I10" s="31">
        <v>640.72320556640625</v>
      </c>
      <c r="J10" s="31">
        <v>518.101806640625</v>
      </c>
      <c r="K10" s="31">
        <v>527.79833984375</v>
      </c>
      <c r="L10" s="31">
        <v>818.93499755859375</v>
      </c>
      <c r="M10" s="31">
        <v>566.63922119140625</v>
      </c>
      <c r="N10" s="31">
        <v>609.770751953125</v>
      </c>
      <c r="O10" s="34">
        <f t="shared" si="0"/>
        <v>-0.15634329438992092</v>
      </c>
      <c r="P10" s="34">
        <f t="shared" si="1"/>
        <v>0.17693230198690477</v>
      </c>
    </row>
    <row r="11" spans="1:17" ht="18" customHeight="1" x14ac:dyDescent="0.2">
      <c r="A11" s="194" t="s">
        <v>27</v>
      </c>
      <c r="B11" s="35" t="s">
        <v>62</v>
      </c>
      <c r="C11" s="36"/>
      <c r="D11" s="36">
        <v>29.906221389770508</v>
      </c>
      <c r="E11" s="36">
        <v>29.884347915649414</v>
      </c>
      <c r="F11" s="36">
        <v>28.813264846801758</v>
      </c>
      <c r="G11" s="36">
        <v>29.198610305786133</v>
      </c>
      <c r="H11" s="36">
        <v>29.048837661743164</v>
      </c>
      <c r="I11" s="36">
        <v>29.227500915527344</v>
      </c>
      <c r="J11" s="36">
        <v>29.306976318359375</v>
      </c>
      <c r="K11" s="36">
        <v>28.82844352722168</v>
      </c>
      <c r="L11" s="36">
        <v>29.15571403503418</v>
      </c>
      <c r="M11" s="36">
        <v>28.605609893798828</v>
      </c>
      <c r="N11" s="36">
        <v>28.873590469360352</v>
      </c>
      <c r="O11" s="29">
        <f t="shared" si="0"/>
        <v>-3.4528966630447334E-2</v>
      </c>
      <c r="P11" s="29">
        <f t="shared" si="1"/>
        <v>-1.4787804933923824E-2</v>
      </c>
    </row>
    <row r="12" spans="1:17" ht="18" customHeight="1" x14ac:dyDescent="0.2">
      <c r="A12" s="195"/>
      <c r="B12" s="37" t="s">
        <v>55</v>
      </c>
      <c r="C12" s="31"/>
      <c r="D12" s="31">
        <v>897.0888671875</v>
      </c>
      <c r="E12" s="31">
        <v>892.41302490234375</v>
      </c>
      <c r="F12" s="31">
        <v>772.06121826171875</v>
      </c>
      <c r="G12" s="31">
        <v>849.4444580078125</v>
      </c>
      <c r="H12" s="31">
        <v>825.9534912109375</v>
      </c>
      <c r="I12" s="31">
        <v>831.772705078125</v>
      </c>
      <c r="J12" s="31">
        <v>842.18603515625</v>
      </c>
      <c r="K12" s="31">
        <v>803.888916015625</v>
      </c>
      <c r="L12" s="31">
        <v>812.69049072265625</v>
      </c>
      <c r="M12" s="31">
        <v>786.07318115234375</v>
      </c>
      <c r="N12" s="31">
        <v>798.94873046875</v>
      </c>
      <c r="O12" s="29">
        <f t="shared" si="0"/>
        <v>-0.10939845572538778</v>
      </c>
      <c r="P12" s="29">
        <f t="shared" si="1"/>
        <v>-5.1339375010508483E-2</v>
      </c>
    </row>
    <row r="13" spans="1:17" ht="18" customHeight="1" x14ac:dyDescent="0.2">
      <c r="A13" s="195"/>
      <c r="B13" s="37" t="s">
        <v>56</v>
      </c>
      <c r="C13" s="31"/>
      <c r="D13" s="31">
        <v>367.5333251953125</v>
      </c>
      <c r="E13" s="31">
        <v>359.41305541992188</v>
      </c>
      <c r="F13" s="31">
        <v>323.71429443359375</v>
      </c>
      <c r="G13" s="31">
        <v>347.38888549804688</v>
      </c>
      <c r="H13" s="31">
        <v>336.79071044921875</v>
      </c>
      <c r="I13" s="31">
        <v>340.90908813476563</v>
      </c>
      <c r="J13" s="31">
        <v>345.7674560546875</v>
      </c>
      <c r="K13" s="31">
        <v>333.08889770507813</v>
      </c>
      <c r="L13" s="31">
        <v>347.5</v>
      </c>
      <c r="M13" s="31">
        <v>349.95123291015625</v>
      </c>
      <c r="N13" s="31">
        <v>358.5128173828125</v>
      </c>
      <c r="O13" s="29">
        <f t="shared" si="0"/>
        <v>-2.4543373876930404E-2</v>
      </c>
      <c r="P13" s="29">
        <f t="shared" si="1"/>
        <v>3.6861078464565385E-2</v>
      </c>
    </row>
    <row r="14" spans="1:17" ht="18" customHeight="1" x14ac:dyDescent="0.2">
      <c r="A14" s="195"/>
      <c r="B14" s="37" t="s">
        <v>57</v>
      </c>
      <c r="C14" s="31"/>
      <c r="D14" s="31">
        <v>662.6832275390625</v>
      </c>
      <c r="E14" s="31">
        <v>658.00164794921875</v>
      </c>
      <c r="F14" s="31">
        <v>586.81121826171875</v>
      </c>
      <c r="G14" s="31">
        <v>630.5389404296875</v>
      </c>
      <c r="H14" s="31">
        <v>612.83917236328125</v>
      </c>
      <c r="I14" s="31">
        <v>617.82666015625</v>
      </c>
      <c r="J14" s="31">
        <v>625.2794189453125</v>
      </c>
      <c r="K14" s="31">
        <v>601.09942626953125</v>
      </c>
      <c r="L14" s="31">
        <v>612.93402099609375</v>
      </c>
      <c r="M14" s="31">
        <v>591.81292724609375</v>
      </c>
      <c r="N14" s="31">
        <v>615.6754150390625</v>
      </c>
      <c r="O14" s="29">
        <f t="shared" si="0"/>
        <v>-7.0935570037841469E-2</v>
      </c>
      <c r="P14" s="29">
        <f t="shared" si="1"/>
        <v>-1.5359539455895597E-2</v>
      </c>
    </row>
    <row r="15" spans="1:17" ht="18" customHeight="1" x14ac:dyDescent="0.2">
      <c r="A15" s="195"/>
      <c r="B15" s="37" t="s">
        <v>58</v>
      </c>
      <c r="C15" s="33"/>
      <c r="D15" s="33">
        <v>873.48980712890625</v>
      </c>
      <c r="E15" s="33">
        <v>904.68670654296875</v>
      </c>
      <c r="F15" s="33">
        <v>1029.782958984375</v>
      </c>
      <c r="G15" s="33">
        <v>1114.260009765625</v>
      </c>
      <c r="H15" s="33">
        <v>1017.5941162109375</v>
      </c>
      <c r="I15" s="33">
        <v>1131.01806640625</v>
      </c>
      <c r="J15" s="33">
        <v>1109.489013671875</v>
      </c>
      <c r="K15" s="33">
        <v>1133.2276611328125</v>
      </c>
      <c r="L15" s="33">
        <v>1099.1907958984375</v>
      </c>
      <c r="M15" s="33">
        <v>842.50323486328125</v>
      </c>
      <c r="N15" s="33">
        <v>924.92523193359375</v>
      </c>
      <c r="O15" s="29">
        <f t="shared" si="0"/>
        <v>5.8884974254882011E-2</v>
      </c>
      <c r="P15" s="29">
        <f t="shared" si="1"/>
        <v>-0.16635025625667432</v>
      </c>
    </row>
    <row r="16" spans="1:17" ht="18" customHeight="1" x14ac:dyDescent="0.2">
      <c r="A16" s="195"/>
      <c r="B16" s="37" t="s">
        <v>63</v>
      </c>
      <c r="C16" s="33"/>
      <c r="D16" s="33">
        <f ca="1">1837.227*OFFSET(D$112,MATCH($N$1,$C$112:$C$113,0)-1,0)</f>
        <v>1837.2270000000001</v>
      </c>
      <c r="E16" s="33">
        <f ca="1">1650.841875*OFFSET(E$112,MATCH($N$1,$C$112:$C$113,0)-1,0)</f>
        <v>1650.8418750000001</v>
      </c>
      <c r="F16" s="33">
        <f ca="1">1694.938625*OFFSET(F$112,MATCH($N$1,$C$112:$C$113,0)-1,0)</f>
        <v>1694.938625</v>
      </c>
      <c r="G16" s="33">
        <f ca="1">2008.8845*OFFSET(G$112,MATCH($N$1,$C$112:$C$113,0)-1,0)</f>
        <v>2008.8844999999999</v>
      </c>
      <c r="H16" s="33">
        <f ca="1">1783.67125*OFFSET(H$112,MATCH($N$1,$C$112:$C$113,0)-1,0)</f>
        <v>1783.6712500000001</v>
      </c>
      <c r="I16" s="33">
        <f ca="1">2167.93325*OFFSET(I$112,MATCH($N$1,$C$112:$C$113,0)-1,0)</f>
        <v>2167.93325</v>
      </c>
      <c r="J16" s="33">
        <f ca="1">2309.699*OFFSET(J$112,MATCH($N$1,$C$112:$C$113,0)-1,0)</f>
        <v>2309.6990000000001</v>
      </c>
      <c r="K16" s="33">
        <f ca="1">2401.20425*OFFSET(K$112,MATCH($N$1,$C$112:$C$113,0)-1,0)</f>
        <v>2401.2042499999998</v>
      </c>
      <c r="L16" s="33">
        <f ca="1">2298.1015*OFFSET(L$112,MATCH($N$1,$C$112:$C$113,0)-1,0)</f>
        <v>2298.1015000000002</v>
      </c>
      <c r="M16" s="33">
        <f ca="1">1515.280375*OFFSET(M$112,MATCH($N$1,$C$112:$C$113,0)-1,0)</f>
        <v>1515.280375</v>
      </c>
      <c r="N16" s="33">
        <v>1687.566</v>
      </c>
      <c r="O16" s="29">
        <f t="shared" ca="1" si="0"/>
        <v>-8.1460265933387677E-2</v>
      </c>
      <c r="P16" s="29">
        <f t="shared" ca="1" si="1"/>
        <v>-0.26935674302149326</v>
      </c>
    </row>
    <row r="17" spans="1:16" ht="18" customHeight="1" x14ac:dyDescent="0.2">
      <c r="A17" s="195"/>
      <c r="B17" s="37" t="s">
        <v>60</v>
      </c>
      <c r="C17" s="31"/>
      <c r="D17" s="31">
        <v>217.77777099609375</v>
      </c>
      <c r="E17" s="31">
        <v>200.34782409667969</v>
      </c>
      <c r="F17" s="31">
        <v>196.53060913085938</v>
      </c>
      <c r="G17" s="31">
        <v>215.33332824707031</v>
      </c>
      <c r="H17" s="31">
        <v>208.30232238769531</v>
      </c>
      <c r="I17" s="31">
        <v>206.40908813476563</v>
      </c>
      <c r="J17" s="31">
        <v>195.48837280273438</v>
      </c>
      <c r="K17" s="31">
        <v>226.88888549804688</v>
      </c>
      <c r="L17" s="31">
        <v>217.30952453613281</v>
      </c>
      <c r="M17" s="31">
        <v>193.26829528808594</v>
      </c>
      <c r="N17" s="31">
        <v>203.84616088867188</v>
      </c>
      <c r="O17" s="29">
        <f t="shared" si="0"/>
        <v>-6.3971681056795113E-2</v>
      </c>
      <c r="P17" s="29">
        <f t="shared" si="1"/>
        <v>4.2753376920126457E-2</v>
      </c>
    </row>
    <row r="18" spans="1:16" ht="18" customHeight="1" x14ac:dyDescent="0.2">
      <c r="A18" s="195"/>
      <c r="B18" s="37" t="s">
        <v>64</v>
      </c>
      <c r="C18" s="31"/>
      <c r="D18" s="31">
        <v>17.377777099609375</v>
      </c>
      <c r="E18" s="31">
        <v>19.282608032226563</v>
      </c>
      <c r="F18" s="31">
        <v>22.306121826171875</v>
      </c>
      <c r="G18" s="31">
        <v>20.80555534362793</v>
      </c>
      <c r="H18" s="31">
        <v>22.069766998291016</v>
      </c>
      <c r="I18" s="31">
        <v>22.613636016845703</v>
      </c>
      <c r="J18" s="31">
        <v>21.79069709777832</v>
      </c>
      <c r="K18" s="31">
        <v>21.799999237060547</v>
      </c>
      <c r="L18" s="31">
        <v>21.897436141967773</v>
      </c>
      <c r="M18" s="31">
        <v>22.441177368164063</v>
      </c>
      <c r="N18" s="31">
        <v>23.766666412353516</v>
      </c>
      <c r="O18" s="29">
        <f t="shared" si="0"/>
        <v>0.36764709756161812</v>
      </c>
      <c r="P18" s="29">
        <f t="shared" si="1"/>
        <v>9.0679490688558836E-2</v>
      </c>
    </row>
    <row r="19" spans="1:16" ht="18" customHeight="1" x14ac:dyDescent="0.2">
      <c r="A19" s="195"/>
      <c r="B19" s="37" t="s">
        <v>65</v>
      </c>
      <c r="C19" s="38"/>
      <c r="D19" s="38">
        <v>4.010922908782959</v>
      </c>
      <c r="E19" s="38">
        <v>4.5155801773071289</v>
      </c>
      <c r="F19" s="38">
        <v>5.239809513092041</v>
      </c>
      <c r="G19" s="38">
        <v>5.1745820045471191</v>
      </c>
      <c r="H19" s="38">
        <v>4.8851790428161621</v>
      </c>
      <c r="I19" s="38">
        <v>5.4794974327087402</v>
      </c>
      <c r="J19" s="38">
        <v>5.6754732131958008</v>
      </c>
      <c r="K19" s="38">
        <v>4.9946370124816895</v>
      </c>
      <c r="L19" s="38">
        <v>5.0581803321838379</v>
      </c>
      <c r="M19" s="38">
        <v>4.3592419624328613</v>
      </c>
      <c r="N19" s="38">
        <v>4.5373687744140625</v>
      </c>
      <c r="O19" s="29">
        <f t="shared" si="0"/>
        <v>0.13125305013425048</v>
      </c>
      <c r="P19" s="29">
        <f t="shared" si="1"/>
        <v>-0.20053031633302051</v>
      </c>
    </row>
    <row r="20" spans="1:16" ht="18" customHeight="1" x14ac:dyDescent="0.2">
      <c r="A20" s="196"/>
      <c r="B20" s="39" t="s">
        <v>28</v>
      </c>
      <c r="C20" s="40"/>
      <c r="D20" s="40">
        <f ca="1">2103*OFFSET(D$112,MATCH($N$1,$C$112:$C$113,0)-1,0)</f>
        <v>2103</v>
      </c>
      <c r="E20" s="40">
        <f ca="1">1825*OFFSET(E$112,MATCH($N$1,$C$112:$C$113,0)-1,0)</f>
        <v>1825</v>
      </c>
      <c r="F20" s="40">
        <f ca="1">1646*OFFSET(F$112,MATCH($N$1,$C$112:$C$113,0)-1,0)</f>
        <v>1646</v>
      </c>
      <c r="G20" s="40">
        <f ca="1">1803*OFFSET(G$112,MATCH($N$1,$C$112:$C$113,0)-1,0)</f>
        <v>1803</v>
      </c>
      <c r="H20" s="40">
        <f ca="1">1753*OFFSET(H$112,MATCH($N$1,$C$112:$C$113,0)-1,0)</f>
        <v>1753</v>
      </c>
      <c r="I20" s="40">
        <f ca="1">1917*OFFSET(I$112,MATCH($N$1,$C$112:$C$113,0)-1,0)</f>
        <v>1917</v>
      </c>
      <c r="J20" s="40">
        <f ca="1">2082*OFFSET(J$112,MATCH($N$1,$C$112:$C$113,0)-1,0)</f>
        <v>2082</v>
      </c>
      <c r="K20" s="40">
        <f ca="1">2119*OFFSET(K$112,MATCH($N$1,$C$112:$C$113,0)-1,0)</f>
        <v>2119</v>
      </c>
      <c r="L20" s="40">
        <f ca="1">2091*OFFSET(L$112,MATCH($N$1,$C$112:$C$113,0)-1,0)</f>
        <v>2091</v>
      </c>
      <c r="M20" s="40">
        <f ca="1">1799*OFFSET(M$112,MATCH($N$1,$C$112:$C$113,0)-1,0)</f>
        <v>1799</v>
      </c>
      <c r="N20" s="40">
        <v>1825</v>
      </c>
      <c r="O20" s="34">
        <f t="shared" ca="1" si="0"/>
        <v>-0.13219210651450308</v>
      </c>
      <c r="P20" s="34">
        <f t="shared" ca="1" si="1"/>
        <v>-0.12343900096061479</v>
      </c>
    </row>
    <row r="21" spans="1:16" ht="18" customHeight="1" x14ac:dyDescent="0.2">
      <c r="A21" s="197" t="s">
        <v>29</v>
      </c>
      <c r="B21" s="35" t="s">
        <v>66</v>
      </c>
      <c r="C21" s="41"/>
      <c r="D21" s="41">
        <v>4.1987933477858812</v>
      </c>
      <c r="E21" s="41">
        <v>4.9229078935666379</v>
      </c>
      <c r="F21" s="41">
        <v>6.5218807494104132</v>
      </c>
      <c r="G21" s="41">
        <v>5.9072705216827153</v>
      </c>
      <c r="H21" s="41">
        <v>5.6670269523047017</v>
      </c>
      <c r="I21" s="41">
        <v>6.1898789476587153</v>
      </c>
      <c r="J21" s="41">
        <v>6.4508966756131105</v>
      </c>
      <c r="K21" s="41">
        <v>5.9475518317611984</v>
      </c>
      <c r="L21" s="41">
        <v>5.9371070047913292</v>
      </c>
      <c r="M21" s="41">
        <v>5.2905801769286063</v>
      </c>
      <c r="N21" s="41">
        <v>5.2577495762151099</v>
      </c>
      <c r="O21" s="29">
        <f t="shared" si="0"/>
        <v>0.25220489333861601</v>
      </c>
      <c r="P21" s="29">
        <f t="shared" si="1"/>
        <v>-0.18495833360787797</v>
      </c>
    </row>
    <row r="22" spans="1:16" ht="18" customHeight="1" x14ac:dyDescent="0.2">
      <c r="A22" s="197"/>
      <c r="B22" s="37" t="s">
        <v>67</v>
      </c>
      <c r="C22" s="38"/>
      <c r="D22" s="38">
        <f ca="1">8.83139842390192*OFFSET(D$112,MATCH($N$1,$C$112:$C$113,0)-1,0)</f>
        <v>8.8313984239019199</v>
      </c>
      <c r="E22" s="38">
        <f ca="1">8.98315675326202*OFFSET(E$112,MATCH($N$1,$C$112:$C$113,0)-1,0)</f>
        <v>8.9831567532620191</v>
      </c>
      <c r="F22" s="38">
        <f ca="1">10.7344829251417*OFFSET(F$112,MATCH($N$1,$C$112:$C$113,0)-1,0)</f>
        <v>10.7344829251417</v>
      </c>
      <c r="G22" s="38">
        <f ca="1">10.6501391814389*OFFSET(G$112,MATCH($N$1,$C$112:$C$113,0)-1,0)</f>
        <v>10.650139181438901</v>
      </c>
      <c r="H22" s="38">
        <f ca="1">9.93334462805178*OFFSET(H$112,MATCH($N$1,$C$112:$C$113,0)-1,0)</f>
        <v>9.9333446280517794</v>
      </c>
      <c r="I22" s="38">
        <f ca="1">11.8647480377951*OFFSET(I$112,MATCH($N$1,$C$112:$C$113,0)-1,0)</f>
        <v>11.864748037795099</v>
      </c>
      <c r="J22" s="38">
        <f ca="1">13.4292718694494*OFFSET(J$112,MATCH($N$1,$C$112:$C$113,0)-1,0)</f>
        <v>13.4292718694494</v>
      </c>
      <c r="K22" s="38">
        <f ca="1">12.6023103965219*OFFSET(K$112,MATCH($N$1,$C$112:$C$113,0)-1,0)</f>
        <v>12.602310396521901</v>
      </c>
      <c r="L22" s="38">
        <f ca="1">12.4128354825054*OFFSET(L$112,MATCH($N$1,$C$112:$C$113,0)-1,0)</f>
        <v>12.4128354825054</v>
      </c>
      <c r="M22" s="38">
        <f ca="1">9.51534900131852*OFFSET(M$112,MATCH($N$1,$C$112:$C$113,0)-1,0)</f>
        <v>9.5153490013185191</v>
      </c>
      <c r="N22" s="38">
        <v>9.5929909953760042</v>
      </c>
      <c r="O22" s="29">
        <f t="shared" ca="1" si="0"/>
        <v>8.6236916841262251E-2</v>
      </c>
      <c r="P22" s="29">
        <f t="shared" ca="1" si="1"/>
        <v>-0.28566559016506698</v>
      </c>
    </row>
    <row r="23" spans="1:16" ht="18" customHeight="1" x14ac:dyDescent="0.2">
      <c r="A23" s="197"/>
      <c r="B23" s="37" t="s">
        <v>11</v>
      </c>
      <c r="C23" s="38"/>
      <c r="D23" s="38">
        <f ca="1">8.36255870260098*OFFSET(D$112,MATCH($N$1,$C$112:$C$113,0)-1,0)</f>
        <v>8.36255870260098</v>
      </c>
      <c r="E23" s="38">
        <f ca="1">8.93220214616866*OFFSET(E$112,MATCH($N$1,$C$112:$C$113,0)-1,0)</f>
        <v>8.9322021461686596</v>
      </c>
      <c r="F23" s="38">
        <f ca="1">10.1803796867096*OFFSET(F$112,MATCH($N$1,$C$112:$C$113,0)-1,0)</f>
        <v>10.1803796867096</v>
      </c>
      <c r="G23" s="38">
        <f ca="1">9.82102536014709*OFFSET(G$112,MATCH($N$1,$C$112:$C$113,0)-1,0)</f>
        <v>9.8210253601470896</v>
      </c>
      <c r="H23" s="38">
        <f ca="1">8.8859814705706*OFFSET(H$112,MATCH($N$1,$C$112:$C$113,0)-1,0)</f>
        <v>8.8859814705706004</v>
      </c>
      <c r="I23" s="38">
        <f ca="1">10.1522527356709*OFFSET(I$112,MATCH($N$1,$C$112:$C$113,0)-1,0)</f>
        <v>10.152252735670899</v>
      </c>
      <c r="J23" s="38">
        <f ca="1">11.5847824177166*OFFSET(J$112,MATCH($N$1,$C$112:$C$113,0)-1,0)</f>
        <v>11.5847824177166</v>
      </c>
      <c r="K23" s="38">
        <f ca="1">10.6969224166555*OFFSET(K$112,MATCH($N$1,$C$112:$C$113,0)-1,0)</f>
        <v>10.6969224166555</v>
      </c>
      <c r="L23" s="38">
        <f ca="1">11.0023735528619*OFFSET(L$112,MATCH($N$1,$C$112:$C$113,0)-1,0)</f>
        <v>11.002373552861901</v>
      </c>
      <c r="M23" s="38">
        <f ca="1">8.85750040866435*OFFSET(M$112,MATCH($N$1,$C$112:$C$113,0)-1,0)</f>
        <v>8.8575004086643503</v>
      </c>
      <c r="N23" s="38">
        <v>9.0344857203255113</v>
      </c>
      <c r="O23" s="29">
        <f t="shared" ca="1" si="0"/>
        <v>8.0349453034696663E-2</v>
      </c>
      <c r="P23" s="29">
        <f t="shared" ca="1" si="1"/>
        <v>-0.22014195911793055</v>
      </c>
    </row>
    <row r="24" spans="1:16" ht="18" customHeight="1" x14ac:dyDescent="0.2">
      <c r="A24" s="197"/>
      <c r="B24" s="37" t="s">
        <v>12</v>
      </c>
      <c r="C24" s="38"/>
      <c r="D24" s="38">
        <f ca="1">0.681987263771931*OFFSET(D$112,MATCH($N$1,$C$112:$C$113,0)-1,0)</f>
        <v>0.68198726377193097</v>
      </c>
      <c r="E24" s="38">
        <f ca="1">0.527674631383132*OFFSET(E$112,MATCH($N$1,$C$112:$C$113,0)-1,0)</f>
        <v>0.52767463138313198</v>
      </c>
      <c r="F24" s="38">
        <f ca="1">0.892073274998753*OFFSET(F$112,MATCH($N$1,$C$112:$C$113,0)-1,0)</f>
        <v>0.892073274998753</v>
      </c>
      <c r="G24" s="38">
        <f ca="1">1.41785793453486*OFFSET(G$112,MATCH($N$1,$C$112:$C$113,0)-1,0)</f>
        <v>1.4178579345348601</v>
      </c>
      <c r="H24" s="38">
        <f ca="1">1.38766319149586*OFFSET(H$112,MATCH($N$1,$C$112:$C$113,0)-1,0)</f>
        <v>1.3876631914958599</v>
      </c>
      <c r="I24" s="38">
        <f ca="1">2.21315627561385*OFFSET(I$112,MATCH($N$1,$C$112:$C$113,0)-1,0)</f>
        <v>2.2131562756138501</v>
      </c>
      <c r="J24" s="38">
        <f ca="1">2.31808373911512*OFFSET(J$112,MATCH($N$1,$C$112:$C$113,0)-1,0)</f>
        <v>2.3180837391151199</v>
      </c>
      <c r="K24" s="38">
        <f ca="1">2.11580700811039*OFFSET(K$112,MATCH($N$1,$C$112:$C$113,0)-1,0)</f>
        <v>2.1158070081103899</v>
      </c>
      <c r="L24" s="38">
        <f ca="1">2.11242811993413*OFFSET(L$112,MATCH($N$1,$C$112:$C$113,0)-1,0)</f>
        <v>2.1124281199341302</v>
      </c>
      <c r="M24" s="38">
        <f ca="1">1.16365854381264*OFFSET(M$112,MATCH($N$1,$C$112:$C$113,0)-1,0)</f>
        <v>1.1636585438126399</v>
      </c>
      <c r="N24" s="38">
        <v>1.0559548827302716</v>
      </c>
      <c r="O24" s="29">
        <f t="shared" ca="1" si="0"/>
        <v>0.54834985757652255</v>
      </c>
      <c r="P24" s="29">
        <f t="shared" ca="1" si="1"/>
        <v>-0.54447077777554298</v>
      </c>
    </row>
    <row r="25" spans="1:16" ht="18" customHeight="1" x14ac:dyDescent="0.2">
      <c r="A25" s="197"/>
      <c r="B25" s="37" t="s">
        <v>68</v>
      </c>
      <c r="C25" s="33"/>
      <c r="D25" s="33">
        <f ca="1">114.38*OFFSET(D$112,MATCH($N$1,$C$112:$C$113,0)-1,0)</f>
        <v>114.38</v>
      </c>
      <c r="E25" s="33">
        <f ca="1">117.34*OFFSET(E$112,MATCH($N$1,$C$112:$C$113,0)-1,0)</f>
        <v>117.34</v>
      </c>
      <c r="F25" s="33">
        <f ca="1">134.4*OFFSET(F$112,MATCH($N$1,$C$112:$C$113,0)-1,0)</f>
        <v>134.4</v>
      </c>
      <c r="G25" s="33">
        <f ca="1">172.4*OFFSET(G$112,MATCH($N$1,$C$112:$C$113,0)-1,0)</f>
        <v>172.4</v>
      </c>
      <c r="H25" s="33">
        <f ca="1">138.72*OFFSET(H$112,MATCH($N$1,$C$112:$C$113,0)-1,0)</f>
        <v>138.72</v>
      </c>
      <c r="I25" s="33">
        <f ca="1">148.87*OFFSET(I$112,MATCH($N$1,$C$112:$C$113,0)-1,0)</f>
        <v>148.87</v>
      </c>
      <c r="J25" s="33">
        <f ca="1">191.69*OFFSET(J$112,MATCH($N$1,$C$112:$C$113,0)-1,0)</f>
        <v>191.69</v>
      </c>
      <c r="K25" s="33">
        <f ca="1">204.73*OFFSET(K$112,MATCH($N$1,$C$112:$C$113,0)-1,0)</f>
        <v>204.73</v>
      </c>
      <c r="L25" s="33">
        <f ca="1">117.86*OFFSET(L$112,MATCH($N$1,$C$112:$C$113,0)-1,0)</f>
        <v>117.86</v>
      </c>
      <c r="M25" s="33">
        <f ca="1">109.64*OFFSET(M$112,MATCH($N$1,$C$112:$C$113,0)-1,0)</f>
        <v>109.64</v>
      </c>
      <c r="N25" s="33">
        <v>107.94</v>
      </c>
      <c r="O25" s="29">
        <f t="shared" ca="1" si="0"/>
        <v>-5.6303549571603412E-2</v>
      </c>
      <c r="P25" s="29">
        <f t="shared" ca="1" si="1"/>
        <v>-0.43690333350722521</v>
      </c>
    </row>
    <row r="26" spans="1:16" ht="18" customHeight="1" x14ac:dyDescent="0.2">
      <c r="A26" s="198"/>
      <c r="B26" s="37" t="s">
        <v>69</v>
      </c>
      <c r="C26" s="33"/>
      <c r="D26" s="33">
        <f ca="1">8.83*OFFSET(D$112,MATCH($N$1,$C$112:$C$113,0)-1,0)</f>
        <v>8.83</v>
      </c>
      <c r="E26" s="33">
        <f ca="1">6.89*OFFSET(E$112,MATCH($N$1,$C$112:$C$113,0)-1,0)</f>
        <v>6.89</v>
      </c>
      <c r="F26" s="33">
        <f ca="1">11.17*OFFSET(F$112,MATCH($N$1,$C$112:$C$113,0)-1,0)</f>
        <v>11.17</v>
      </c>
      <c r="G26" s="33">
        <f ca="1">22.95*OFFSET(G$112,MATCH($N$1,$C$112:$C$113,0)-1,0)</f>
        <v>22.95</v>
      </c>
      <c r="H26" s="33">
        <f ca="1">19.38*OFFSET(H$112,MATCH($N$1,$C$112:$C$113,0)-1,0)</f>
        <v>19.38</v>
      </c>
      <c r="I26" s="33">
        <f ca="1">27.77*OFFSET(I$112,MATCH($N$1,$C$112:$C$113,0)-1,0)</f>
        <v>27.77</v>
      </c>
      <c r="J26" s="33">
        <f ca="1">33.09*OFFSET(J$112,MATCH($N$1,$C$112:$C$113,0)-1,0)</f>
        <v>33.090000000000003</v>
      </c>
      <c r="K26" s="33">
        <f ca="1">34.37*OFFSET(K$112,MATCH($N$1,$C$112:$C$113,0)-1,0)</f>
        <v>34.369999999999997</v>
      </c>
      <c r="L26" s="33">
        <f ca="1">20.06*OFFSET(L$112,MATCH($N$1,$C$112:$C$113,0)-1,0)</f>
        <v>20.059999999999999</v>
      </c>
      <c r="M26" s="33">
        <f ca="1">13.41*OFFSET(M$112,MATCH($N$1,$C$112:$C$113,0)-1,0)</f>
        <v>13.41</v>
      </c>
      <c r="N26" s="33">
        <v>11.88</v>
      </c>
      <c r="O26" s="34">
        <f t="shared" ca="1" si="0"/>
        <v>0.3454133635334089</v>
      </c>
      <c r="P26" s="34">
        <f t="shared" ca="1" si="1"/>
        <v>-0.64097914777878506</v>
      </c>
    </row>
    <row r="27" spans="1:16" ht="18" customHeight="1" x14ac:dyDescent="0.2">
      <c r="A27" s="187" t="s">
        <v>30</v>
      </c>
      <c r="B27" s="35" t="s">
        <v>63</v>
      </c>
      <c r="C27" s="36"/>
      <c r="D27" s="36">
        <f ca="1">1837.2*OFFSET(D$112,MATCH($N$1,$C$112:$C$113,0)-1,0)</f>
        <v>1837.2</v>
      </c>
      <c r="E27" s="36">
        <f ca="1">1650.8*OFFSET(E$112,MATCH($N$1,$C$112:$C$113,0)-1,0)</f>
        <v>1650.8</v>
      </c>
      <c r="F27" s="36">
        <f ca="1">1694.9*OFFSET(F$112,MATCH($N$1,$C$112:$C$113,0)-1,0)</f>
        <v>1694.9</v>
      </c>
      <c r="G27" s="36">
        <f ca="1">2008.9*OFFSET(G$112,MATCH($N$1,$C$112:$C$113,0)-1,0)</f>
        <v>2008.9</v>
      </c>
      <c r="H27" s="36">
        <f ca="1">1783.7*OFFSET(H$112,MATCH($N$1,$C$112:$C$113,0)-1,0)</f>
        <v>1783.7</v>
      </c>
      <c r="I27" s="36">
        <f ca="1">2167.9*OFFSET(I$112,MATCH($N$1,$C$112:$C$113,0)-1,0)</f>
        <v>2167.9</v>
      </c>
      <c r="J27" s="36">
        <f ca="1">2309.7*OFFSET(J$112,MATCH($N$1,$C$112:$C$113,0)-1,0)</f>
        <v>2309.6999999999998</v>
      </c>
      <c r="K27" s="36">
        <f ca="1">2401.2*OFFSET(K$112,MATCH($N$1,$C$112:$C$113,0)-1,0)</f>
        <v>2401.1999999999998</v>
      </c>
      <c r="L27" s="36">
        <f ca="1">2298.1*OFFSET(L$112,MATCH($N$1,$C$112:$C$113,0)-1,0)</f>
        <v>2298.1</v>
      </c>
      <c r="M27" s="36">
        <f ca="1">1515.3*OFFSET(M$112,MATCH($N$1,$C$112:$C$113,0)-1,0)</f>
        <v>1515.3</v>
      </c>
      <c r="N27" s="36">
        <v>1687.6000000000001</v>
      </c>
      <c r="O27" s="29">
        <f t="shared" ca="1" si="0"/>
        <v>-8.1428260396255114E-2</v>
      </c>
      <c r="P27" s="29">
        <f t="shared" ca="1" si="1"/>
        <v>-0.2693423388318828</v>
      </c>
    </row>
    <row r="28" spans="1:16" ht="18" customHeight="1" x14ac:dyDescent="0.2">
      <c r="A28" s="199"/>
      <c r="B28" s="37" t="s">
        <v>70</v>
      </c>
      <c r="C28" s="33"/>
      <c r="D28" s="33">
        <f ca="1">44.3*OFFSET(D$112,MATCH($N$1,$C$112:$C$113,0)-1,0)</f>
        <v>44.3</v>
      </c>
      <c r="E28" s="33">
        <f ca="1">87.6*OFFSET(E$112,MATCH($N$1,$C$112:$C$113,0)-1,0)</f>
        <v>87.6</v>
      </c>
      <c r="F28" s="33">
        <f ca="1">53.4*OFFSET(F$112,MATCH($N$1,$C$112:$C$113,0)-1,0)</f>
        <v>53.4</v>
      </c>
      <c r="G28" s="33">
        <f ca="1">111.1*OFFSET(G$112,MATCH($N$1,$C$112:$C$113,0)-1,0)</f>
        <v>111.1</v>
      </c>
      <c r="H28" s="33">
        <f ca="1">61.1*OFFSET(H$112,MATCH($N$1,$C$112:$C$113,0)-1,0)</f>
        <v>61.1</v>
      </c>
      <c r="I28" s="33">
        <f ca="1">91.5*OFFSET(I$112,MATCH($N$1,$C$112:$C$113,0)-1,0)</f>
        <v>91.5</v>
      </c>
      <c r="J28" s="33">
        <f ca="1">81.5*OFFSET(J$112,MATCH($N$1,$C$112:$C$113,0)-1,0)</f>
        <v>81.5</v>
      </c>
      <c r="K28" s="33">
        <f ca="1">40.1*OFFSET(K$112,MATCH($N$1,$C$112:$C$113,0)-1,0)</f>
        <v>40.1</v>
      </c>
      <c r="L28" s="33">
        <f ca="1">130*OFFSET(L$112,MATCH($N$1,$C$112:$C$113,0)-1,0)</f>
        <v>130</v>
      </c>
      <c r="M28" s="33">
        <f ca="1">80.5*OFFSET(M$112,MATCH($N$1,$C$112:$C$113,0)-1,0)</f>
        <v>80.5</v>
      </c>
      <c r="N28" s="33">
        <v>87.5</v>
      </c>
      <c r="O28" s="29">
        <f t="shared" ca="1" si="0"/>
        <v>0.97516930022573378</v>
      </c>
      <c r="P28" s="29">
        <f t="shared" ca="1" si="1"/>
        <v>7.3619631901840496E-2</v>
      </c>
    </row>
    <row r="29" spans="1:16" ht="18" customHeight="1" x14ac:dyDescent="0.2">
      <c r="A29" s="199"/>
      <c r="B29" s="42" t="s">
        <v>71</v>
      </c>
      <c r="C29" s="43"/>
      <c r="D29" s="43">
        <f ca="1">1881.6*OFFSET(D$112,MATCH($N$1,$C$112:$C$113,0)-1,0)</f>
        <v>1881.6</v>
      </c>
      <c r="E29" s="43">
        <f ca="1">1738.4*OFFSET(E$112,MATCH($N$1,$C$112:$C$113,0)-1,0)</f>
        <v>1738.4</v>
      </c>
      <c r="F29" s="43">
        <f ca="1">1748.3*OFFSET(F$112,MATCH($N$1,$C$112:$C$113,0)-1,0)</f>
        <v>1748.3</v>
      </c>
      <c r="G29" s="43">
        <f ca="1">2119.9*OFFSET(G$112,MATCH($N$1,$C$112:$C$113,0)-1,0)</f>
        <v>2119.9</v>
      </c>
      <c r="H29" s="43">
        <f ca="1">1844.8*OFFSET(H$112,MATCH($N$1,$C$112:$C$113,0)-1,0)</f>
        <v>1844.8</v>
      </c>
      <c r="I29" s="43">
        <f ca="1">2259.4*OFFSET(I$112,MATCH($N$1,$C$112:$C$113,0)-1,0)</f>
        <v>2259.4</v>
      </c>
      <c r="J29" s="43">
        <f ca="1">2391.2*OFFSET(J$112,MATCH($N$1,$C$112:$C$113,0)-1,0)</f>
        <v>2391.1999999999998</v>
      </c>
      <c r="K29" s="43">
        <f ca="1">2441.3*OFFSET(K$112,MATCH($N$1,$C$112:$C$113,0)-1,0)</f>
        <v>2441.3000000000002</v>
      </c>
      <c r="L29" s="43">
        <f ca="1">2428.1*OFFSET(L$112,MATCH($N$1,$C$112:$C$113,0)-1,0)</f>
        <v>2428.1</v>
      </c>
      <c r="M29" s="43">
        <f ca="1">1595.8*OFFSET(M$112,MATCH($N$1,$C$112:$C$113,0)-1,0)</f>
        <v>1595.8</v>
      </c>
      <c r="N29" s="43">
        <v>1775.1000000000001</v>
      </c>
      <c r="O29" s="29">
        <f t="shared" ca="1" si="0"/>
        <v>-5.6600765306122333E-2</v>
      </c>
      <c r="P29" s="29">
        <f t="shared" ca="1" si="1"/>
        <v>-0.25765306122448967</v>
      </c>
    </row>
    <row r="30" spans="1:16" ht="18" customHeight="1" x14ac:dyDescent="0.2">
      <c r="A30" s="199"/>
      <c r="B30" s="37" t="s">
        <v>72</v>
      </c>
      <c r="C30" s="33"/>
      <c r="D30" s="33">
        <f ca="1">592.3*OFFSET(D$112,MATCH($N$1,$C$112:$C$113,0)-1,0)</f>
        <v>592.29999999999995</v>
      </c>
      <c r="E30" s="33">
        <f ca="1">544.1*OFFSET(E$112,MATCH($N$1,$C$112:$C$113,0)-1,0)</f>
        <v>544.1</v>
      </c>
      <c r="F30" s="33">
        <f ca="1">465.2*OFFSET(F$112,MATCH($N$1,$C$112:$C$113,0)-1,0)</f>
        <v>465.2</v>
      </c>
      <c r="G30" s="33">
        <f ca="1">482.2*OFFSET(G$112,MATCH($N$1,$C$112:$C$113,0)-1,0)</f>
        <v>482.2</v>
      </c>
      <c r="H30" s="33">
        <f ca="1">320.7*OFFSET(H$112,MATCH($N$1,$C$112:$C$113,0)-1,0)</f>
        <v>320.7</v>
      </c>
      <c r="I30" s="33">
        <f ca="1">303*OFFSET(I$112,MATCH($N$1,$C$112:$C$113,0)-1,0)</f>
        <v>303</v>
      </c>
      <c r="J30" s="33">
        <f ca="1">342.8*OFFSET(J$112,MATCH($N$1,$C$112:$C$113,0)-1,0)</f>
        <v>342.8</v>
      </c>
      <c r="K30" s="33">
        <f ca="1">455.5*OFFSET(K$112,MATCH($N$1,$C$112:$C$113,0)-1,0)</f>
        <v>455.5</v>
      </c>
      <c r="L30" s="33">
        <f ca="1">429.9*OFFSET(L$112,MATCH($N$1,$C$112:$C$113,0)-1,0)</f>
        <v>429.9</v>
      </c>
      <c r="M30" s="33">
        <f ca="1">279.5*OFFSET(M$112,MATCH($N$1,$C$112:$C$113,0)-1,0)</f>
        <v>279.5</v>
      </c>
      <c r="N30" s="33">
        <v>381.8</v>
      </c>
      <c r="O30" s="29">
        <f t="shared" ca="1" si="0"/>
        <v>-0.35539422589903757</v>
      </c>
      <c r="P30" s="29">
        <f t="shared" ca="1" si="1"/>
        <v>0.11376896149358226</v>
      </c>
    </row>
    <row r="31" spans="1:16" ht="18" customHeight="1" x14ac:dyDescent="0.2">
      <c r="A31" s="199"/>
      <c r="B31" s="37" t="s">
        <v>73</v>
      </c>
      <c r="C31" s="33"/>
      <c r="D31" s="33">
        <f ca="1">378.6*OFFSET(D$112,MATCH($N$1,$C$112:$C$113,0)-1,0)</f>
        <v>378.6</v>
      </c>
      <c r="E31" s="33">
        <f ca="1">333.9*OFFSET(E$112,MATCH($N$1,$C$112:$C$113,0)-1,0)</f>
        <v>333.9</v>
      </c>
      <c r="F31" s="33">
        <f ca="1">363.9*OFFSET(F$112,MATCH($N$1,$C$112:$C$113,0)-1,0)</f>
        <v>363.9</v>
      </c>
      <c r="G31" s="33">
        <f ca="1">461.1*OFFSET(G$112,MATCH($N$1,$C$112:$C$113,0)-1,0)</f>
        <v>461.1</v>
      </c>
      <c r="H31" s="33">
        <f ca="1">434.1*OFFSET(H$112,MATCH($N$1,$C$112:$C$113,0)-1,0)</f>
        <v>434.1</v>
      </c>
      <c r="I31" s="33">
        <f ca="1">578.1*OFFSET(I$112,MATCH($N$1,$C$112:$C$113,0)-1,0)</f>
        <v>578.1</v>
      </c>
      <c r="J31" s="33">
        <f ca="1">615.5*OFFSET(J$112,MATCH($N$1,$C$112:$C$113,0)-1,0)</f>
        <v>615.5</v>
      </c>
      <c r="K31" s="33">
        <f ca="1">595.3*OFFSET(K$112,MATCH($N$1,$C$112:$C$113,0)-1,0)</f>
        <v>595.29999999999995</v>
      </c>
      <c r="L31" s="33">
        <f ca="1">616.6*OFFSET(L$112,MATCH($N$1,$C$112:$C$113,0)-1,0)</f>
        <v>616.6</v>
      </c>
      <c r="M31" s="33">
        <f ca="1">437.5*OFFSET(M$112,MATCH($N$1,$C$112:$C$113,0)-1,0)</f>
        <v>437.5</v>
      </c>
      <c r="N31" s="33">
        <v>451.6</v>
      </c>
      <c r="O31" s="29">
        <f t="shared" ca="1" si="0"/>
        <v>0.19281563655573164</v>
      </c>
      <c r="P31" s="29">
        <f t="shared" ca="1" si="1"/>
        <v>-0.26628757108042239</v>
      </c>
    </row>
    <row r="32" spans="1:16" ht="18" customHeight="1" x14ac:dyDescent="0.2">
      <c r="A32" s="199"/>
      <c r="B32" s="37" t="s">
        <v>74</v>
      </c>
      <c r="C32" s="33"/>
      <c r="D32" s="33">
        <f ca="1">432.1*OFFSET(D$112,MATCH($N$1,$C$112:$C$113,0)-1,0)</f>
        <v>432.1</v>
      </c>
      <c r="E32" s="33">
        <f ca="1">451.2*OFFSET(E$112,MATCH($N$1,$C$112:$C$113,0)-1,0)</f>
        <v>451.2</v>
      </c>
      <c r="F32" s="33">
        <f ca="1">462.2*OFFSET(F$112,MATCH($N$1,$C$112:$C$113,0)-1,0)</f>
        <v>462.2</v>
      </c>
      <c r="G32" s="33">
        <f ca="1">565.9*OFFSET(G$112,MATCH($N$1,$C$112:$C$113,0)-1,0)</f>
        <v>565.9</v>
      </c>
      <c r="H32" s="33">
        <f ca="1">491.6*OFFSET(H$112,MATCH($N$1,$C$112:$C$113,0)-1,0)</f>
        <v>491.6</v>
      </c>
      <c r="I32" s="33">
        <f ca="1">582.7*OFFSET(I$112,MATCH($N$1,$C$112:$C$113,0)-1,0)</f>
        <v>582.70000000000005</v>
      </c>
      <c r="J32" s="33">
        <f ca="1">626.2*OFFSET(J$112,MATCH($N$1,$C$112:$C$113,0)-1,0)</f>
        <v>626.20000000000005</v>
      </c>
      <c r="K32" s="33">
        <f ca="1">618.1*OFFSET(K$112,MATCH($N$1,$C$112:$C$113,0)-1,0)</f>
        <v>618.1</v>
      </c>
      <c r="L32" s="33">
        <f ca="1">563.9*OFFSET(L$112,MATCH($N$1,$C$112:$C$113,0)-1,0)</f>
        <v>563.9</v>
      </c>
      <c r="M32" s="33">
        <f ca="1">371.1*OFFSET(M$112,MATCH($N$1,$C$112:$C$113,0)-1,0)</f>
        <v>371.1</v>
      </c>
      <c r="N32" s="33">
        <v>413.3</v>
      </c>
      <c r="O32" s="29">
        <f t="shared" ca="1" si="0"/>
        <v>-4.3508447118722544E-2</v>
      </c>
      <c r="P32" s="29">
        <f t="shared" ca="1" si="1"/>
        <v>-0.33998722452890451</v>
      </c>
    </row>
    <row r="33" spans="1:16" ht="18" customHeight="1" x14ac:dyDescent="0.2">
      <c r="A33" s="199"/>
      <c r="B33" s="37" t="s">
        <v>75</v>
      </c>
      <c r="C33" s="33"/>
      <c r="D33" s="33">
        <f ca="1">1403*OFFSET(D$112,MATCH($N$1,$C$112:$C$113,0)-1,0)</f>
        <v>1403</v>
      </c>
      <c r="E33" s="33">
        <f ca="1">1329.2*OFFSET(E$112,MATCH($N$1,$C$112:$C$113,0)-1,0)</f>
        <v>1329.2</v>
      </c>
      <c r="F33" s="33">
        <f ca="1">1291.3*OFFSET(F$112,MATCH($N$1,$C$112:$C$113,0)-1,0)</f>
        <v>1291.3</v>
      </c>
      <c r="G33" s="33">
        <f ca="1">1509.2*OFFSET(G$112,MATCH($N$1,$C$112:$C$113,0)-1,0)</f>
        <v>1509.2</v>
      </c>
      <c r="H33" s="33">
        <f ca="1">1246.4*OFFSET(H$112,MATCH($N$1,$C$112:$C$113,0)-1,0)</f>
        <v>1246.4000000000001</v>
      </c>
      <c r="I33" s="33">
        <f ca="1">1463.8*OFFSET(I$112,MATCH($N$1,$C$112:$C$113,0)-1,0)</f>
        <v>1463.8</v>
      </c>
      <c r="J33" s="33">
        <f ca="1">1584.5*OFFSET(J$112,MATCH($N$1,$C$112:$C$113,0)-1,0)</f>
        <v>1584.5</v>
      </c>
      <c r="K33" s="33">
        <f ca="1">1668.9*OFFSET(K$112,MATCH($N$1,$C$112:$C$113,0)-1,0)</f>
        <v>1668.9</v>
      </c>
      <c r="L33" s="33">
        <f ca="1">1610.3*OFFSET(L$112,MATCH($N$1,$C$112:$C$113,0)-1,0)</f>
        <v>1610.3</v>
      </c>
      <c r="M33" s="33">
        <f ca="1">1088.1*OFFSET(M$112,MATCH($N$1,$C$112:$C$113,0)-1,0)</f>
        <v>1088.0999999999999</v>
      </c>
      <c r="N33" s="33">
        <v>1246.6000000000001</v>
      </c>
      <c r="O33" s="29">
        <f t="shared" ca="1" si="0"/>
        <v>-0.11147540983606548</v>
      </c>
      <c r="P33" s="29">
        <f t="shared" ca="1" si="1"/>
        <v>-0.21325339223729875</v>
      </c>
    </row>
    <row r="34" spans="1:16" ht="18" customHeight="1" x14ac:dyDescent="0.2">
      <c r="A34" s="199"/>
      <c r="B34" s="37" t="s">
        <v>76</v>
      </c>
      <c r="C34" s="33"/>
      <c r="D34" s="33">
        <f ca="1">336.7*OFFSET(D$112,MATCH($N$1,$C$112:$C$113,0)-1,0)</f>
        <v>336.7</v>
      </c>
      <c r="E34" s="33">
        <f ca="1">312.3*OFFSET(E$112,MATCH($N$1,$C$112:$C$113,0)-1,0)</f>
        <v>312.3</v>
      </c>
      <c r="F34" s="33">
        <f ca="1">316.2*OFFSET(F$112,MATCH($N$1,$C$112:$C$113,0)-1,0)</f>
        <v>316.2</v>
      </c>
      <c r="G34" s="33">
        <f ca="1">343.3*OFFSET(G$112,MATCH($N$1,$C$112:$C$113,0)-1,0)</f>
        <v>343.3</v>
      </c>
      <c r="H34" s="33">
        <f ca="1">349.2*OFFSET(H$112,MATCH($N$1,$C$112:$C$113,0)-1,0)</f>
        <v>349.2</v>
      </c>
      <c r="I34" s="33">
        <f ca="1">391.2*OFFSET(I$112,MATCH($N$1,$C$112:$C$113,0)-1,0)</f>
        <v>391.2</v>
      </c>
      <c r="J34" s="33">
        <f ca="1">408*OFFSET(J$112,MATCH($N$1,$C$112:$C$113,0)-1,0)</f>
        <v>408</v>
      </c>
      <c r="K34" s="33">
        <f ca="1">369.3*OFFSET(K$112,MATCH($N$1,$C$112:$C$113,0)-1,0)</f>
        <v>369.3</v>
      </c>
      <c r="L34" s="33">
        <f ca="1">426.6*OFFSET(L$112,MATCH($N$1,$C$112:$C$113,0)-1,0)</f>
        <v>426.6</v>
      </c>
      <c r="M34" s="33">
        <f ca="1">322.5*OFFSET(M$112,MATCH($N$1,$C$112:$C$113,0)-1,0)</f>
        <v>322.5</v>
      </c>
      <c r="N34" s="33">
        <v>342.7</v>
      </c>
      <c r="O34" s="29">
        <f t="shared" ca="1" si="0"/>
        <v>1.7820017820017822E-2</v>
      </c>
      <c r="P34" s="29">
        <f t="shared" ca="1" si="1"/>
        <v>-0.16004901960784315</v>
      </c>
    </row>
    <row r="35" spans="1:16" ht="18" customHeight="1" x14ac:dyDescent="0.2">
      <c r="A35" s="199"/>
      <c r="B35" s="37" t="s">
        <v>77</v>
      </c>
      <c r="C35" s="33"/>
      <c r="D35" s="33">
        <f ca="1">1739.7*OFFSET(D$112,MATCH($N$1,$C$112:$C$113,0)-1,0)</f>
        <v>1739.7</v>
      </c>
      <c r="E35" s="33">
        <f ca="1">1641.5*OFFSET(E$112,MATCH($N$1,$C$112:$C$113,0)-1,0)</f>
        <v>1641.5</v>
      </c>
      <c r="F35" s="33">
        <f ca="1">1607.4*OFFSET(F$112,MATCH($N$1,$C$112:$C$113,0)-1,0)</f>
        <v>1607.4</v>
      </c>
      <c r="G35" s="33">
        <f ca="1">1852.5*OFFSET(G$112,MATCH($N$1,$C$112:$C$113,0)-1,0)</f>
        <v>1852.5</v>
      </c>
      <c r="H35" s="33">
        <f ca="1">1595.6*OFFSET(H$112,MATCH($N$1,$C$112:$C$113,0)-1,0)</f>
        <v>1595.6</v>
      </c>
      <c r="I35" s="33">
        <f ca="1">1855*OFFSET(I$112,MATCH($N$1,$C$112:$C$113,0)-1,0)</f>
        <v>1855</v>
      </c>
      <c r="J35" s="33">
        <f ca="1">1992.5*OFFSET(J$112,MATCH($N$1,$C$112:$C$113,0)-1,0)</f>
        <v>1992.5</v>
      </c>
      <c r="K35" s="33">
        <f ca="1">2038.2*OFFSET(K$112,MATCH($N$1,$C$112:$C$113,0)-1,0)</f>
        <v>2038.2</v>
      </c>
      <c r="L35" s="33">
        <f ca="1">2037*OFFSET(L$112,MATCH($N$1,$C$112:$C$113,0)-1,0)</f>
        <v>2037</v>
      </c>
      <c r="M35" s="33">
        <f ca="1">1410.5*OFFSET(M$112,MATCH($N$1,$C$112:$C$113,0)-1,0)</f>
        <v>1410.5</v>
      </c>
      <c r="N35" s="33">
        <v>1589.3</v>
      </c>
      <c r="O35" s="29">
        <f t="shared" ca="1" si="0"/>
        <v>-8.645168707248381E-2</v>
      </c>
      <c r="P35" s="29">
        <f t="shared" ca="1" si="1"/>
        <v>-0.20235884567126727</v>
      </c>
    </row>
    <row r="36" spans="1:16" ht="18" customHeight="1" x14ac:dyDescent="0.2">
      <c r="A36" s="199"/>
      <c r="B36" s="42" t="s">
        <v>78</v>
      </c>
      <c r="C36" s="43"/>
      <c r="D36" s="43">
        <f ca="1">520.5*OFFSET(D$112,MATCH($N$1,$C$112:$C$113,0)-1,0)</f>
        <v>520.5</v>
      </c>
      <c r="E36" s="43">
        <f ca="1">430.9*OFFSET(E$112,MATCH($N$1,$C$112:$C$113,0)-1,0)</f>
        <v>430.9</v>
      </c>
      <c r="F36" s="43">
        <f ca="1">504.8*OFFSET(F$112,MATCH($N$1,$C$112:$C$113,0)-1,0)</f>
        <v>504.8</v>
      </c>
      <c r="G36" s="43">
        <f ca="1">728.5*OFFSET(G$112,MATCH($N$1,$C$112:$C$113,0)-1,0)</f>
        <v>728.5</v>
      </c>
      <c r="H36" s="43">
        <f ca="1">683.3*OFFSET(H$112,MATCH($N$1,$C$112:$C$113,0)-1,0)</f>
        <v>683.3</v>
      </c>
      <c r="I36" s="43">
        <f ca="1">982.5*OFFSET(I$112,MATCH($N$1,$C$112:$C$113,0)-1,0)</f>
        <v>982.5</v>
      </c>
      <c r="J36" s="43">
        <f ca="1">1014.2*OFFSET(J$112,MATCH($N$1,$C$112:$C$113,0)-1,0)</f>
        <v>1014.2</v>
      </c>
      <c r="K36" s="43">
        <f ca="1">998.4*OFFSET(K$112,MATCH($N$1,$C$112:$C$113,0)-1,0)</f>
        <v>998.4</v>
      </c>
      <c r="L36" s="43">
        <f ca="1">1007.7*OFFSET(L$112,MATCH($N$1,$C$112:$C$113,0)-1,0)</f>
        <v>1007.7</v>
      </c>
      <c r="M36" s="43">
        <f ca="1">622.8*OFFSET(M$112,MATCH($N$1,$C$112:$C$113,0)-1,0)</f>
        <v>622.79999999999995</v>
      </c>
      <c r="N36" s="43">
        <v>637.40000000000009</v>
      </c>
      <c r="O36" s="29">
        <f t="shared" ca="1" si="0"/>
        <v>0.22459173871277635</v>
      </c>
      <c r="P36" s="29">
        <f t="shared" ca="1" si="1"/>
        <v>-0.37152435417077495</v>
      </c>
    </row>
    <row r="37" spans="1:16" ht="18" customHeight="1" x14ac:dyDescent="0.2">
      <c r="A37" s="199"/>
      <c r="B37" s="42" t="s">
        <v>79</v>
      </c>
      <c r="C37" s="43"/>
      <c r="D37" s="43">
        <f ca="1">141.9*OFFSET(D$112,MATCH($N$1,$C$112:$C$113,0)-1,0)</f>
        <v>141.9</v>
      </c>
      <c r="E37" s="43">
        <f ca="1">97*OFFSET(E$112,MATCH($N$1,$C$112:$C$113,0)-1,0)</f>
        <v>97</v>
      </c>
      <c r="F37" s="43">
        <f ca="1">140.9*OFFSET(F$112,MATCH($N$1,$C$112:$C$113,0)-1,0)</f>
        <v>140.9</v>
      </c>
      <c r="G37" s="43">
        <f ca="1">267.4*OFFSET(G$112,MATCH($N$1,$C$112:$C$113,0)-1,0)</f>
        <v>267.39999999999998</v>
      </c>
      <c r="H37" s="43">
        <f ca="1">249.2*OFFSET(H$112,MATCH($N$1,$C$112:$C$113,0)-1,0)</f>
        <v>249.2</v>
      </c>
      <c r="I37" s="43">
        <f ca="1">404.4*OFFSET(I$112,MATCH($N$1,$C$112:$C$113,0)-1,0)</f>
        <v>404.4</v>
      </c>
      <c r="J37" s="43">
        <f ca="1">398.7*OFFSET(J$112,MATCH($N$1,$C$112:$C$113,0)-1,0)</f>
        <v>398.7</v>
      </c>
      <c r="K37" s="43">
        <f ca="1">403.1*OFFSET(K$112,MATCH($N$1,$C$112:$C$113,0)-1,0)</f>
        <v>403.1</v>
      </c>
      <c r="L37" s="43">
        <f ca="1">391.1*OFFSET(L$112,MATCH($N$1,$C$112:$C$113,0)-1,0)</f>
        <v>391.1</v>
      </c>
      <c r="M37" s="43">
        <f ca="1">185.3*OFFSET(M$112,MATCH($N$1,$C$112:$C$113,0)-1,0)</f>
        <v>185.3</v>
      </c>
      <c r="N37" s="43">
        <v>185.8</v>
      </c>
      <c r="O37" s="29">
        <f t="shared" ca="1" si="0"/>
        <v>0.30937279774489079</v>
      </c>
      <c r="P37" s="29">
        <f t="shared" ca="1" si="1"/>
        <v>-0.53398545272134434</v>
      </c>
    </row>
    <row r="38" spans="1:16" ht="18" customHeight="1" x14ac:dyDescent="0.2">
      <c r="A38" s="199"/>
      <c r="B38" s="37" t="s">
        <v>80</v>
      </c>
      <c r="C38" s="33"/>
      <c r="D38" s="33">
        <f ca="1">96*OFFSET(D$112,MATCH($N$1,$C$112:$C$113,0)-1,0)</f>
        <v>96</v>
      </c>
      <c r="E38" s="33">
        <f ca="1">109.7*OFFSET(E$112,MATCH($N$1,$C$112:$C$113,0)-1,0)</f>
        <v>109.7</v>
      </c>
      <c r="F38" s="33">
        <f ca="1">83.7*OFFSET(F$112,MATCH($N$1,$C$112:$C$113,0)-1,0)</f>
        <v>83.7</v>
      </c>
      <c r="G38" s="33">
        <f ca="1">84.2*OFFSET(G$112,MATCH($N$1,$C$112:$C$113,0)-1,0)</f>
        <v>84.2</v>
      </c>
      <c r="H38" s="33">
        <f ca="1">90.9*OFFSET(H$112,MATCH($N$1,$C$112:$C$113,0)-1,0)</f>
        <v>90.9</v>
      </c>
      <c r="I38" s="33">
        <f ca="1">115.2*OFFSET(I$112,MATCH($N$1,$C$112:$C$113,0)-1,0)</f>
        <v>115.2</v>
      </c>
      <c r="J38" s="33">
        <f ca="1">104.9*OFFSET(J$112,MATCH($N$1,$C$112:$C$113,0)-1,0)</f>
        <v>104.9</v>
      </c>
      <c r="K38" s="33">
        <f ca="1">112.6*OFFSET(K$112,MATCH($N$1,$C$112:$C$113,0)-1,0)</f>
        <v>112.6</v>
      </c>
      <c r="L38" s="33">
        <f ca="1">103.3*OFFSET(L$112,MATCH($N$1,$C$112:$C$113,0)-1,0)</f>
        <v>103.3</v>
      </c>
      <c r="M38" s="33">
        <f ca="1">86.1*OFFSET(M$112,MATCH($N$1,$C$112:$C$113,0)-1,0)</f>
        <v>86.1</v>
      </c>
      <c r="N38" s="33"/>
      <c r="O38" s="29" t="str">
        <f t="shared" si="0"/>
        <v/>
      </c>
      <c r="P38" s="29" t="str">
        <f t="shared" si="1"/>
        <v/>
      </c>
    </row>
    <row r="39" spans="1:16" ht="18" customHeight="1" x14ac:dyDescent="0.2">
      <c r="A39" s="199"/>
      <c r="B39" s="37" t="s">
        <v>81</v>
      </c>
      <c r="C39" s="33"/>
      <c r="D39" s="33">
        <f ca="1">26.8*OFFSET(D$112,MATCH($N$1,$C$112:$C$113,0)-1,0)</f>
        <v>26.8</v>
      </c>
      <c r="E39" s="33">
        <f ca="1">31.4*OFFSET(E$112,MATCH($N$1,$C$112:$C$113,0)-1,0)</f>
        <v>31.4</v>
      </c>
      <c r="F39" s="33">
        <f ca="1">15.1*OFFSET(F$112,MATCH($N$1,$C$112:$C$113,0)-1,0)</f>
        <v>15.1</v>
      </c>
      <c r="G39" s="33">
        <f ca="1">19.1*OFFSET(G$112,MATCH($N$1,$C$112:$C$113,0)-1,0)</f>
        <v>19.100000000000001</v>
      </c>
      <c r="H39" s="33">
        <f ca="1">10.5*OFFSET(H$112,MATCH($N$1,$C$112:$C$113,0)-1,0)</f>
        <v>10.5</v>
      </c>
      <c r="I39" s="33">
        <f ca="1">13.6*OFFSET(I$112,MATCH($N$1,$C$112:$C$113,0)-1,0)</f>
        <v>13.6</v>
      </c>
      <c r="J39" s="33">
        <f ca="1">12.5*OFFSET(J$112,MATCH($N$1,$C$112:$C$113,0)-1,0)</f>
        <v>12.5</v>
      </c>
      <c r="K39" s="33">
        <f ca="1">13.7*OFFSET(K$112,MATCH($N$1,$C$112:$C$113,0)-1,0)</f>
        <v>13.7</v>
      </c>
      <c r="L39" s="33">
        <f ca="1">20.7*OFFSET(L$112,MATCH($N$1,$C$112:$C$113,0)-1,0)</f>
        <v>20.7</v>
      </c>
      <c r="M39" s="33">
        <f ca="1">26*OFFSET(M$112,MATCH($N$1,$C$112:$C$113,0)-1,0)</f>
        <v>26</v>
      </c>
      <c r="N39" s="33"/>
      <c r="O39" s="29" t="str">
        <f t="shared" si="0"/>
        <v/>
      </c>
      <c r="P39" s="29" t="str">
        <f t="shared" si="1"/>
        <v/>
      </c>
    </row>
    <row r="40" spans="1:16" ht="18" customHeight="1" x14ac:dyDescent="0.2">
      <c r="A40" s="199"/>
      <c r="B40" s="37" t="s">
        <v>82</v>
      </c>
      <c r="C40" s="33"/>
      <c r="D40" s="33">
        <f ca="1">5.7*OFFSET(D$112,MATCH($N$1,$C$112:$C$113,0)-1,0)</f>
        <v>5.7</v>
      </c>
      <c r="E40" s="33">
        <f ca="1">2.6*OFFSET(E$112,MATCH($N$1,$C$112:$C$113,0)-1,0)</f>
        <v>2.6</v>
      </c>
      <c r="F40" s="33">
        <f ca="1">5.5*OFFSET(F$112,MATCH($N$1,$C$112:$C$113,0)-1,0)</f>
        <v>5.5</v>
      </c>
      <c r="G40" s="33">
        <f ca="1">32.5*OFFSET(G$112,MATCH($N$1,$C$112:$C$113,0)-1,0)</f>
        <v>32.5</v>
      </c>
      <c r="H40" s="33">
        <f ca="1">5*OFFSET(H$112,MATCH($N$1,$C$112:$C$113,0)-1,0)</f>
        <v>5</v>
      </c>
      <c r="I40" s="33">
        <f ca="1">2.8*OFFSET(I$112,MATCH($N$1,$C$112:$C$113,0)-1,0)</f>
        <v>2.8</v>
      </c>
      <c r="J40" s="33">
        <f ca="1">9.9*OFFSET(J$112,MATCH($N$1,$C$112:$C$113,0)-1,0)</f>
        <v>9.9</v>
      </c>
      <c r="K40" s="33">
        <f ca="1">5.5*OFFSET(K$112,MATCH($N$1,$C$112:$C$113,0)-1,0)</f>
        <v>5.5</v>
      </c>
      <c r="L40" s="33">
        <f ca="1">5.6*OFFSET(L$112,MATCH($N$1,$C$112:$C$113,0)-1,0)</f>
        <v>5.6</v>
      </c>
      <c r="M40" s="33">
        <f ca="1">6.1*OFFSET(M$112,MATCH($N$1,$C$112:$C$113,0)-1,0)</f>
        <v>6.1</v>
      </c>
      <c r="N40" s="33"/>
      <c r="O40" s="29" t="str">
        <f t="shared" si="0"/>
        <v/>
      </c>
      <c r="P40" s="29" t="str">
        <f t="shared" si="1"/>
        <v/>
      </c>
    </row>
    <row r="41" spans="1:16" ht="18" customHeight="1" thickBot="1" x14ac:dyDescent="0.25">
      <c r="A41" s="200"/>
      <c r="B41" s="44" t="s">
        <v>83</v>
      </c>
      <c r="C41" s="45"/>
      <c r="D41" s="45">
        <f ca="1">13.4*OFFSET(D$112,MATCH($N$1,$C$112:$C$113,0)-1,0)</f>
        <v>13.4</v>
      </c>
      <c r="E41" s="45">
        <f ca="1">-46.8*OFFSET(E$112,MATCH($N$1,$C$112:$C$113,0)-1,0)</f>
        <v>-46.8</v>
      </c>
      <c r="F41" s="45">
        <f ca="1">36.6*OFFSET(F$112,MATCH($N$1,$C$112:$C$113,0)-1,0)</f>
        <v>36.6</v>
      </c>
      <c r="G41" s="45">
        <f ca="1">131.6*OFFSET(G$112,MATCH($N$1,$C$112:$C$113,0)-1,0)</f>
        <v>131.6</v>
      </c>
      <c r="H41" s="45">
        <f ca="1">142.8*OFFSET(H$112,MATCH($N$1,$C$112:$C$113,0)-1,0)</f>
        <v>142.80000000000001</v>
      </c>
      <c r="I41" s="45">
        <f ca="1">272.8*OFFSET(I$112,MATCH($N$1,$C$112:$C$113,0)-1,0)</f>
        <v>272.8</v>
      </c>
      <c r="J41" s="45">
        <f ca="1">271.4*OFFSET(J$112,MATCH($N$1,$C$112:$C$113,0)-1,0)</f>
        <v>271.39999999999998</v>
      </c>
      <c r="K41" s="45">
        <f ca="1">271.2*OFFSET(K$112,MATCH($N$1,$C$112:$C$113,0)-1,0)</f>
        <v>271.2</v>
      </c>
      <c r="L41" s="45">
        <f ca="1">261.4*OFFSET(L$112,MATCH($N$1,$C$112:$C$113,0)-1,0)</f>
        <v>261.39999999999998</v>
      </c>
      <c r="M41" s="45">
        <f ca="1">65.1*OFFSET(M$112,MATCH($N$1,$C$112:$C$113,0)-1,0)</f>
        <v>65.099999999999994</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22</v>
      </c>
      <c r="F46" s="94" t="s">
        <v>130</v>
      </c>
      <c r="G46" s="94" t="s">
        <v>130</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NSWOS demersal over 24m</v>
      </c>
      <c r="C48" s="96"/>
      <c r="D48" s="96"/>
      <c r="E48" s="96"/>
      <c r="F48" s="96"/>
      <c r="G48" s="96"/>
      <c r="K48" s="96" t="str">
        <f>$B24&amp;CHAR(10)&amp;$A$1</f>
        <v>Operating profit per kW day at sea (£)
NSWOS demersal over 24m</v>
      </c>
    </row>
    <row r="49" spans="1:11" s="82" customFormat="1" x14ac:dyDescent="0.2">
      <c r="A49" s="96" t="str">
        <f>$B22&amp;CHAR(10)&amp;$A$1</f>
        <v>Fishing income per kW day at sea (£)
NSWOS demersal over 24m</v>
      </c>
    </row>
    <row r="50" spans="1:11" s="82" customFormat="1" x14ac:dyDescent="0.2">
      <c r="A50" s="96" t="str">
        <f>$B20&amp;CHAR(10)&amp;$A$1</f>
        <v>Average price per tonne landed (£)
NSWOS demersal over 24m</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NSWOS demersal over 24m</v>
      </c>
      <c r="F62" s="96" t="str">
        <f>$B20&amp;CHAR(10)&amp;$A$1</f>
        <v>Average price per tonne landed (£)
NSWOS demersal over 24m</v>
      </c>
      <c r="K62" s="96" t="str">
        <f>"Average annual operating profit per vessel (£'000)"&amp;CHAR(10)&amp;$A$1</f>
        <v>Average annual operating profit per vessel (£'000)
NSWOS demersal over 24m</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NSWOS demersal over 24m</v>
      </c>
      <c r="F76" s="96" t="str">
        <f>"Top 5 landed species by value in "&amp;A77&amp;CHAR(10)&amp;A1</f>
        <v>Top 5 landed species by value in 2020
NSWOS demersal over 24m</v>
      </c>
    </row>
    <row r="77" spans="1:11" s="96" customFormat="1" x14ac:dyDescent="0.2">
      <c r="A77" s="96">
        <v>2020</v>
      </c>
      <c r="B77" s="96" t="s">
        <v>317</v>
      </c>
      <c r="C77" s="97">
        <v>0.26356899999253641</v>
      </c>
      <c r="D77" s="98">
        <v>12153634</v>
      </c>
      <c r="G77" s="96" t="s">
        <v>318</v>
      </c>
      <c r="H77" s="97">
        <v>0.21748688995682705</v>
      </c>
      <c r="I77" s="98">
        <v>12153634</v>
      </c>
      <c r="K77" s="96" t="s">
        <v>87</v>
      </c>
    </row>
    <row r="78" spans="1:11" s="96" customFormat="1" x14ac:dyDescent="0.2">
      <c r="B78" s="96" t="s">
        <v>319</v>
      </c>
      <c r="C78" s="97">
        <v>0.14756276890174438</v>
      </c>
      <c r="D78" s="98">
        <v>1692097</v>
      </c>
      <c r="G78" s="96" t="s">
        <v>320</v>
      </c>
      <c r="H78" s="97">
        <v>0.18492782074137928</v>
      </c>
      <c r="I78" s="98">
        <v>553960</v>
      </c>
    </row>
    <row r="79" spans="1:11" s="96" customFormat="1" x14ac:dyDescent="0.2">
      <c r="B79" s="96" t="s">
        <v>321</v>
      </c>
      <c r="C79" s="97">
        <v>0.12165329494327322</v>
      </c>
      <c r="D79" s="98">
        <v>3050596</v>
      </c>
      <c r="G79" s="96" t="s">
        <v>322</v>
      </c>
      <c r="H79" s="97">
        <v>0.17851712029910802</v>
      </c>
      <c r="I79" s="98">
        <v>3050596</v>
      </c>
    </row>
    <row r="80" spans="1:11" s="96" customFormat="1" x14ac:dyDescent="0.2">
      <c r="B80" s="96" t="s">
        <v>323</v>
      </c>
      <c r="C80" s="97">
        <v>0.11932084830860054</v>
      </c>
      <c r="D80" s="98">
        <v>553960</v>
      </c>
      <c r="G80" s="96" t="s">
        <v>324</v>
      </c>
      <c r="H80" s="97">
        <v>7.7951145899252977E-2</v>
      </c>
      <c r="I80" s="98">
        <v>1692097</v>
      </c>
    </row>
    <row r="81" spans="1:19" s="96" customFormat="1" x14ac:dyDescent="0.2">
      <c r="B81" s="96" t="s">
        <v>325</v>
      </c>
      <c r="C81" s="97">
        <v>7.6999186863063465E-2</v>
      </c>
      <c r="D81" s="98">
        <v>3689192</v>
      </c>
      <c r="G81" s="96" t="s">
        <v>326</v>
      </c>
      <c r="H81" s="97">
        <v>5.3389125695774829E-2</v>
      </c>
      <c r="I81" s="98">
        <v>3689192</v>
      </c>
    </row>
    <row r="82" spans="1:19" s="96" customFormat="1" x14ac:dyDescent="0.2">
      <c r="B82" s="96" t="s">
        <v>327</v>
      </c>
      <c r="C82" s="97">
        <v>0.27089490099078184</v>
      </c>
      <c r="D82" s="98">
        <v>5920853</v>
      </c>
      <c r="G82" s="96" t="s">
        <v>328</v>
      </c>
      <c r="H82" s="97">
        <v>0.28772789740765781</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20</v>
      </c>
      <c r="D92" s="102">
        <v>0.19798689766772579</v>
      </c>
      <c r="E92" s="102">
        <v>0.24304332353727076</v>
      </c>
      <c r="F92" s="102">
        <v>0.24994934063747604</v>
      </c>
      <c r="G92" s="102">
        <v>0.23322583392535906</v>
      </c>
      <c r="H92" s="102">
        <v>0.20905459721103339</v>
      </c>
      <c r="I92" s="102">
        <v>0.22255857074776644</v>
      </c>
      <c r="J92" s="102">
        <v>0.21072709084445845</v>
      </c>
      <c r="K92" s="102">
        <v>0.23589849400298102</v>
      </c>
      <c r="L92" s="102">
        <v>0.21748688995682705</v>
      </c>
      <c r="M92" s="102">
        <v>0.23499235950133979</v>
      </c>
      <c r="O92" s="96">
        <v>12153634</v>
      </c>
    </row>
    <row r="93" spans="1:19" s="96" customFormat="1" hidden="1" x14ac:dyDescent="0.2">
      <c r="B93" s="96">
        <v>2</v>
      </c>
      <c r="C93" s="96" t="s">
        <v>143</v>
      </c>
      <c r="D93" s="102">
        <v>0.13380629787140297</v>
      </c>
      <c r="E93" s="102">
        <v>0.10616418440418927</v>
      </c>
      <c r="F93" s="102">
        <v>0.13414287616751405</v>
      </c>
      <c r="G93" s="102">
        <v>0.14639623999862306</v>
      </c>
      <c r="H93" s="102">
        <v>0.16599606278083104</v>
      </c>
      <c r="I93" s="102">
        <v>0.16952531131681894</v>
      </c>
      <c r="J93" s="102">
        <v>0.16472339753043957</v>
      </c>
      <c r="K93" s="102">
        <v>0.14478823191880583</v>
      </c>
      <c r="L93" s="102">
        <v>0.18492782074137928</v>
      </c>
      <c r="M93" s="102">
        <v>0.22138412481663017</v>
      </c>
      <c r="O93" s="96">
        <v>553960</v>
      </c>
    </row>
    <row r="94" spans="1:19" s="96" customFormat="1" hidden="1" x14ac:dyDescent="0.2">
      <c r="B94" s="96">
        <v>3</v>
      </c>
      <c r="C94" s="96" t="s">
        <v>98</v>
      </c>
      <c r="D94" s="102">
        <v>0.12929680107125799</v>
      </c>
      <c r="E94" s="102">
        <v>0.162276433221268</v>
      </c>
      <c r="F94" s="102">
        <v>0.15373297660369384</v>
      </c>
      <c r="G94" s="102">
        <v>0.14857824799557004</v>
      </c>
      <c r="H94" s="102">
        <v>0.14834474945186052</v>
      </c>
      <c r="I94" s="102">
        <v>0.17890482769234956</v>
      </c>
      <c r="J94" s="102">
        <v>0.20565650666950094</v>
      </c>
      <c r="K94" s="102">
        <v>0.20662534551144604</v>
      </c>
      <c r="L94" s="102">
        <v>0.17851712029910802</v>
      </c>
      <c r="M94" s="102">
        <v>0.12347588871583161</v>
      </c>
      <c r="O94" s="96">
        <v>3050596</v>
      </c>
    </row>
    <row r="95" spans="1:19" s="96" customFormat="1" hidden="1" x14ac:dyDescent="0.2">
      <c r="B95" s="96">
        <v>4</v>
      </c>
      <c r="C95" s="96" t="s">
        <v>265</v>
      </c>
      <c r="D95" s="102">
        <v>0.14016570302181269</v>
      </c>
      <c r="E95" s="102">
        <v>0.12064683341801762</v>
      </c>
      <c r="F95" s="102">
        <v>0.11502475555236419</v>
      </c>
      <c r="G95" s="102">
        <v>0.10082049720664754</v>
      </c>
      <c r="H95" s="102">
        <v>8.6431302475298483E-2</v>
      </c>
      <c r="I95" s="102">
        <v>6.8785045395454922E-2</v>
      </c>
      <c r="J95" s="102">
        <v>6.280002205320076E-2</v>
      </c>
      <c r="K95" s="102">
        <v>7.8901375598363049E-2</v>
      </c>
      <c r="L95" s="102">
        <v>7.7951145899252977E-2</v>
      </c>
      <c r="M95" s="102">
        <v>7.0605821377460687E-2</v>
      </c>
      <c r="O95" s="96">
        <v>1692097</v>
      </c>
    </row>
    <row r="96" spans="1:19" s="96" customFormat="1" hidden="1" x14ac:dyDescent="0.2">
      <c r="B96" s="96">
        <v>5</v>
      </c>
      <c r="C96" s="96" t="s">
        <v>126</v>
      </c>
      <c r="D96" s="102"/>
      <c r="E96" s="102"/>
      <c r="F96" s="102"/>
      <c r="G96" s="102"/>
      <c r="H96" s="102"/>
      <c r="I96" s="102"/>
      <c r="J96" s="102"/>
      <c r="K96" s="102"/>
      <c r="L96" s="102">
        <v>5.3389125695774829E-2</v>
      </c>
      <c r="M96" s="102"/>
      <c r="O96" s="96">
        <v>3689192</v>
      </c>
    </row>
    <row r="97" spans="1:15" s="96" customFormat="1" hidden="1" x14ac:dyDescent="0.2">
      <c r="B97" s="96">
        <v>6</v>
      </c>
      <c r="C97" s="96" t="s">
        <v>210</v>
      </c>
      <c r="D97" s="102"/>
      <c r="E97" s="102"/>
      <c r="F97" s="102"/>
      <c r="G97" s="102"/>
      <c r="H97" s="102"/>
      <c r="I97" s="102"/>
      <c r="J97" s="102"/>
      <c r="K97" s="102"/>
      <c r="L97" s="102"/>
      <c r="M97" s="102">
        <v>5.6182507485063149E-2</v>
      </c>
      <c r="O97" s="96">
        <v>11115023</v>
      </c>
    </row>
    <row r="98" spans="1:15" s="96" customFormat="1" hidden="1" x14ac:dyDescent="0.2">
      <c r="B98" s="96">
        <v>7</v>
      </c>
      <c r="C98" s="96" t="s">
        <v>145</v>
      </c>
      <c r="D98" s="102"/>
      <c r="E98" s="102"/>
      <c r="F98" s="102"/>
      <c r="G98" s="102"/>
      <c r="H98" s="102"/>
      <c r="I98" s="102"/>
      <c r="J98" s="102"/>
      <c r="K98" s="102">
        <v>5.1968442232285909E-2</v>
      </c>
      <c r="L98" s="102"/>
      <c r="M98" s="102"/>
      <c r="O98" s="96">
        <v>2480382</v>
      </c>
    </row>
    <row r="99" spans="1:15" s="96" customFormat="1" hidden="1" x14ac:dyDescent="0.2">
      <c r="B99" s="96">
        <v>8</v>
      </c>
      <c r="C99" s="96" t="s">
        <v>128</v>
      </c>
      <c r="D99" s="102">
        <v>0.12076799805785675</v>
      </c>
      <c r="E99" s="102">
        <v>8.6015902398037164E-2</v>
      </c>
      <c r="F99" s="102">
        <v>7.4115019053803938E-2</v>
      </c>
      <c r="G99" s="102">
        <v>9.779992705768259E-2</v>
      </c>
      <c r="H99" s="102">
        <v>0.11642605102331076</v>
      </c>
      <c r="I99" s="102">
        <v>9.3980744326076157E-2</v>
      </c>
      <c r="J99" s="102">
        <v>8.5725627929065129E-2</v>
      </c>
      <c r="K99" s="102"/>
      <c r="L99" s="102"/>
      <c r="M99" s="102"/>
      <c r="O99" s="96">
        <v>7434864</v>
      </c>
    </row>
    <row r="100" spans="1:15" s="96" customFormat="1" hidden="1" x14ac:dyDescent="0.2">
      <c r="B100" s="96">
        <v>9</v>
      </c>
      <c r="C100" s="96" t="s">
        <v>107</v>
      </c>
      <c r="D100" s="102">
        <v>0.27797630230994386</v>
      </c>
      <c r="E100" s="102">
        <v>0.28185332302121718</v>
      </c>
      <c r="F100" s="102">
        <v>0.27303503198514795</v>
      </c>
      <c r="G100" s="102">
        <v>0.27317925381611768</v>
      </c>
      <c r="H100" s="102">
        <v>0.27374723705766579</v>
      </c>
      <c r="I100" s="102">
        <v>0.26624550052153395</v>
      </c>
      <c r="J100" s="102">
        <v>0.27036735497333514</v>
      </c>
      <c r="K100" s="102">
        <v>0.28181811073611812</v>
      </c>
      <c r="L100" s="102">
        <v>0.28772789740765781</v>
      </c>
      <c r="M100" s="102">
        <v>0.29335929810367462</v>
      </c>
      <c r="O100" s="96">
        <v>5920853</v>
      </c>
    </row>
    <row r="101" spans="1:15" s="96" customFormat="1" hidden="1" x14ac:dyDescent="0.2">
      <c r="B101" s="96">
        <v>10</v>
      </c>
      <c r="D101" s="102"/>
      <c r="E101" s="102"/>
      <c r="F101" s="102"/>
      <c r="G101" s="102"/>
      <c r="H101" s="102"/>
      <c r="I101" s="102"/>
      <c r="J101" s="102"/>
      <c r="K101" s="102"/>
      <c r="L101" s="102"/>
      <c r="M101" s="102"/>
      <c r="O101" s="96">
        <v>14393110</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10</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11</v>
      </c>
      <c r="D120" s="56">
        <v>20</v>
      </c>
      <c r="E120" s="56">
        <v>11</v>
      </c>
      <c r="F120" s="57">
        <v>41</v>
      </c>
    </row>
    <row r="121" spans="1:15" ht="18" customHeight="1" x14ac:dyDescent="0.2">
      <c r="A121" s="194" t="s">
        <v>27</v>
      </c>
      <c r="B121" s="35" t="s">
        <v>62</v>
      </c>
      <c r="C121" s="58">
        <v>28.459091186523438</v>
      </c>
      <c r="D121" s="58">
        <v>27.067500114440918</v>
      </c>
      <c r="E121" s="58">
        <v>33.649089813232422</v>
      </c>
      <c r="F121" s="59">
        <v>28.605609893798828</v>
      </c>
    </row>
    <row r="122" spans="1:15" ht="18" customHeight="1" x14ac:dyDescent="0.2">
      <c r="A122" s="195"/>
      <c r="B122" s="37" t="s">
        <v>55</v>
      </c>
      <c r="C122" s="60">
        <v>696.09088134765625</v>
      </c>
      <c r="D122" s="60">
        <v>725.14999389648438</v>
      </c>
      <c r="E122" s="60">
        <v>1088.45458984375</v>
      </c>
      <c r="F122" s="61">
        <v>786.07318115234375</v>
      </c>
    </row>
    <row r="123" spans="1:15" ht="18" customHeight="1" x14ac:dyDescent="0.2">
      <c r="A123" s="195"/>
      <c r="B123" s="37" t="s">
        <v>56</v>
      </c>
      <c r="C123" s="60">
        <v>364.6363525390625</v>
      </c>
      <c r="D123" s="60">
        <v>312.09999084472656</v>
      </c>
      <c r="E123" s="60">
        <v>394.72726440429688</v>
      </c>
      <c r="F123" s="61">
        <v>349.95123291015625</v>
      </c>
    </row>
    <row r="124" spans="1:15" ht="18" customHeight="1" x14ac:dyDescent="0.2">
      <c r="A124" s="195"/>
      <c r="B124" s="37" t="s">
        <v>57</v>
      </c>
      <c r="C124" s="60">
        <v>555.476318359375</v>
      </c>
      <c r="D124" s="60">
        <v>550.52897644042969</v>
      </c>
      <c r="E124" s="60">
        <v>847.9508056640625</v>
      </c>
      <c r="F124" s="61">
        <v>591.81292724609375</v>
      </c>
    </row>
    <row r="125" spans="1:15" ht="18" customHeight="1" x14ac:dyDescent="0.2">
      <c r="A125" s="195"/>
      <c r="B125" s="37" t="s">
        <v>58</v>
      </c>
      <c r="C125" s="33">
        <v>1655.0386962890625</v>
      </c>
      <c r="D125" s="33">
        <v>1052.4356079101563</v>
      </c>
      <c r="E125" s="33">
        <v>628.35247802734375</v>
      </c>
      <c r="F125" s="62">
        <v>842.50323486328125</v>
      </c>
    </row>
    <row r="126" spans="1:15" ht="18" customHeight="1" x14ac:dyDescent="0.2">
      <c r="A126" s="195"/>
      <c r="B126" s="37" t="s">
        <v>63</v>
      </c>
      <c r="C126" s="33">
        <f ca="1">3612.039*OFFSET($L$112,MATCH($N$1,$C$112:$C$113,0)-1,0)</f>
        <v>3612.0390000000002</v>
      </c>
      <c r="D126" s="33">
        <f ca="1">2214.9869375*OFFSET($L$112,MATCH($N$1,$C$112:$C$113,0)-1,0)</f>
        <v>2214.9869374999998</v>
      </c>
      <c r="E126" s="33">
        <f ca="1">1135.281*OFFSET($L$112,MATCH($N$1,$C$112:$C$113,0)-1,0)</f>
        <v>1135.2809999999999</v>
      </c>
      <c r="F126" s="62">
        <f ca="1">1515.280375*OFFSET($L$112,MATCH($N$1,$C$112:$C$113,0)-1,0)</f>
        <v>1515.280375</v>
      </c>
    </row>
    <row r="127" spans="1:15" ht="18" customHeight="1" x14ac:dyDescent="0.2">
      <c r="A127" s="195"/>
      <c r="B127" s="37" t="s">
        <v>60</v>
      </c>
      <c r="C127" s="60">
        <v>255.18182373046875</v>
      </c>
      <c r="D127" s="60">
        <v>216.94999694824219</v>
      </c>
      <c r="E127" s="60">
        <v>180.09091186523438</v>
      </c>
      <c r="F127" s="61">
        <v>193.26829528808594</v>
      </c>
    </row>
    <row r="128" spans="1:15" ht="18" customHeight="1" x14ac:dyDescent="0.2">
      <c r="A128" s="195"/>
      <c r="B128" s="37" t="s">
        <v>64</v>
      </c>
      <c r="C128" s="60">
        <v>15.181818008422852</v>
      </c>
      <c r="D128" s="60">
        <v>22.149999618530273</v>
      </c>
      <c r="E128" s="60">
        <v>30.5</v>
      </c>
      <c r="F128" s="61">
        <v>22.441177368164063</v>
      </c>
    </row>
    <row r="129" spans="1:15" ht="18" customHeight="1" x14ac:dyDescent="0.2">
      <c r="A129" s="195"/>
      <c r="B129" s="37" t="s">
        <v>65</v>
      </c>
      <c r="C129" s="63">
        <v>6.4857234954833984</v>
      </c>
      <c r="D129" s="63">
        <v>4.8510514990292259</v>
      </c>
      <c r="E129" s="63">
        <v>3.4890849590301514</v>
      </c>
      <c r="F129" s="64">
        <v>4.3592419624328613</v>
      </c>
    </row>
    <row r="130" spans="1:15" ht="18" customHeight="1" x14ac:dyDescent="0.2">
      <c r="A130" s="196"/>
      <c r="B130" s="39" t="s">
        <v>28</v>
      </c>
      <c r="C130" s="40">
        <f ca="1">2182.44987751582*OFFSET($L$112,MATCH($N$1,$C$112:$C$113,0)-1,0)</f>
        <v>2182.4498775158199</v>
      </c>
      <c r="D130" s="40">
        <f ca="1">2104.62941471388*OFFSET($L$112,MATCH($N$1,$C$112:$C$113,0)-1,0)</f>
        <v>2104.6294147138801</v>
      </c>
      <c r="E130" s="40">
        <f ca="1">1806.75821246717*OFFSET($L$112,MATCH($N$1,$C$112:$C$113,0)-1,0)</f>
        <v>1806.7582124671701</v>
      </c>
      <c r="F130" s="65">
        <f ca="1">1799*OFFSET($L$112,MATCH($N$1,$C$112:$C$113,0)-1,0)</f>
        <v>1799</v>
      </c>
    </row>
    <row r="131" spans="1:15" ht="18" customHeight="1" x14ac:dyDescent="0.2">
      <c r="A131" s="205" t="s">
        <v>29</v>
      </c>
      <c r="B131" s="35" t="s">
        <v>66</v>
      </c>
      <c r="C131" s="66">
        <v>9.2485531192181529</v>
      </c>
      <c r="D131" s="66">
        <v>6.3796309586034079</v>
      </c>
      <c r="E131" s="66">
        <v>2.7559109572117428</v>
      </c>
      <c r="F131" s="67">
        <v>5.2905801769286063</v>
      </c>
    </row>
    <row r="132" spans="1:15" ht="18" customHeight="1" x14ac:dyDescent="0.2">
      <c r="A132" s="206"/>
      <c r="B132" s="37" t="s">
        <v>67</v>
      </c>
      <c r="C132" s="63">
        <f ca="1">20.1845036222362*OFFSET($L$112,MATCH($N$1,$C$112:$C$113,0)-1,0)</f>
        <v>20.1845036222362</v>
      </c>
      <c r="D132" s="63">
        <f ca="1">13.426758970496*OFFSET($L$112,MATCH($N$1,$C$112:$C$113,0)-1,0)</f>
        <v>13.426758970496</v>
      </c>
      <c r="E132" s="63">
        <f ca="1">4.97926475477057*OFFSET($L$112,MATCH($N$1,$C$112:$C$113,0)-1,0)</f>
        <v>4.9792647547705702</v>
      </c>
      <c r="F132" s="64">
        <f ca="1">9.51534900131852*OFFSET($L$112,MATCH($N$1,$C$112:$C$113,0)-1,0)</f>
        <v>9.5153490013185191</v>
      </c>
    </row>
    <row r="133" spans="1:15" ht="18" customHeight="1" x14ac:dyDescent="0.2">
      <c r="A133" s="206"/>
      <c r="B133" s="37" t="s">
        <v>11</v>
      </c>
      <c r="C133" s="63">
        <f ca="1">15.5124369699473*OFFSET($L$112,MATCH($N$1,$C$112:$C$113,0)-1,0)</f>
        <v>15.5124369699473</v>
      </c>
      <c r="D133" s="63">
        <f ca="1">11.0987198898348*OFFSET($L$112,MATCH($N$1,$C$112:$C$113,0)-1,0)</f>
        <v>11.098719889834801</v>
      </c>
      <c r="E133" s="63">
        <f ca="1">5.15945443054812*OFFSET($L$112,MATCH($N$1,$C$112:$C$113,0)-1,0)</f>
        <v>5.15945443054812</v>
      </c>
      <c r="F133" s="64">
        <f ca="1">8.35169045750587*OFFSET($L$112,MATCH($N$1,$C$112:$C$113,0)-1,0)</f>
        <v>8.3516904575058692</v>
      </c>
    </row>
    <row r="134" spans="1:15" ht="18" customHeight="1" x14ac:dyDescent="0.2">
      <c r="A134" s="207"/>
      <c r="B134" s="39" t="s">
        <v>12</v>
      </c>
      <c r="C134" s="68">
        <f ca="1">4.6720666522889*OFFSET($L$112,MATCH($N$1,$C$112:$C$113,0)-1,0)</f>
        <v>4.6720666522889003</v>
      </c>
      <c r="D134" s="68">
        <f ca="1">2.32803908066129*OFFSET($L$112,MATCH($N$1,$C$112:$C$113,0)-1,0)</f>
        <v>2.3280390806612901</v>
      </c>
      <c r="E134" s="68">
        <f ca="1">-0.180189675777549*OFFSET($L$112,MATCH($N$1,$C$112:$C$113,0)-1,0)</f>
        <v>-0.18018967577754899</v>
      </c>
      <c r="F134" s="69">
        <f ca="1">1.16365854381264*OFFSET($L$112,MATCH($N$1,$C$112:$C$113,0)-1,0)</f>
        <v>1.1636585438126399</v>
      </c>
    </row>
    <row r="135" spans="1:15" ht="18" customHeight="1" x14ac:dyDescent="0.2">
      <c r="A135" s="208" t="s">
        <v>49</v>
      </c>
      <c r="B135" s="37" t="s">
        <v>109</v>
      </c>
      <c r="C135" s="70">
        <f ca="1">454.3146875*OFFSET($L$112,MATCH($N$1,$C$112:$C$113,0)-1,0)</f>
        <v>454.31468749999999</v>
      </c>
      <c r="D135" s="70">
        <f ca="1">407.242890625*OFFSET($L$112,MATCH($N$1,$C$112:$C$113,0)-1,0)</f>
        <v>407.24289062499997</v>
      </c>
      <c r="E135" s="70">
        <f ca="1">446.6580625*OFFSET($L$112,MATCH($N$1,$C$112:$C$113,0)-1,0)</f>
        <v>446.65806250000003</v>
      </c>
      <c r="F135" s="71">
        <f ca="1">279.49765625*OFFSET($L$112,MATCH($N$1,$C$112:$C$113,0)-1,0)</f>
        <v>279.49765624999998</v>
      </c>
    </row>
    <row r="136" spans="1:15" ht="18" customHeight="1" x14ac:dyDescent="0.2">
      <c r="A136" s="209"/>
      <c r="B136" s="37" t="s">
        <v>110</v>
      </c>
      <c r="C136" s="31">
        <v>873031.8432018758</v>
      </c>
      <c r="D136" s="31">
        <v>783542.49003624171</v>
      </c>
      <c r="E136" s="31">
        <v>856190.88641417027</v>
      </c>
      <c r="F136" s="72">
        <v>754557.31707317068</v>
      </c>
    </row>
    <row r="137" spans="1:15" ht="18" customHeight="1" x14ac:dyDescent="0.2">
      <c r="A137" s="209"/>
      <c r="B137" s="37" t="s">
        <v>111</v>
      </c>
      <c r="C137" s="31">
        <v>3421.21484375</v>
      </c>
      <c r="D137" s="31">
        <v>3611.6271078960726</v>
      </c>
      <c r="E137" s="31">
        <v>4754.21484375</v>
      </c>
      <c r="F137" s="72">
        <v>3904.196044921875</v>
      </c>
    </row>
    <row r="138" spans="1:15" ht="18" customHeight="1" x14ac:dyDescent="0.2">
      <c r="A138" s="209"/>
      <c r="B138" s="37" t="s">
        <v>112</v>
      </c>
      <c r="C138" s="31">
        <f ca="1">1780.35677015876*OFFSET($L$112,MATCH($N$1,$C$112:$C$113,0)-1,0)</f>
        <v>1780.3567701587599</v>
      </c>
      <c r="D138" s="31">
        <f ca="1">1877.12789284877*OFFSET($L$112,MATCH($N$1,$C$112:$C$113,0)-1,0)</f>
        <v>1877.12789284877</v>
      </c>
      <c r="E138" s="31">
        <f ca="1">2480.18102564911*OFFSET($L$112,MATCH($N$1,$C$112:$C$113,0)-1,0)</f>
        <v>2480.1810256491099</v>
      </c>
      <c r="F138" s="72">
        <f ca="1">1446.16402723158*OFFSET($L$112,MATCH($N$1,$C$112:$C$113,0)-1,0)</f>
        <v>1446.1640272315799</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274.503966897371*OFFSET($L$112,MATCH($N$1,$C$112:$C$113,0)-1,0)</f>
        <v>274.50396689737101</v>
      </c>
      <c r="D139" s="31">
        <f ca="1">386.952786055644*OFFSET($L$112,MATCH($N$1,$C$112:$C$113,0)-1,0)</f>
        <v>386.95278605564403</v>
      </c>
      <c r="E139" s="31">
        <f ca="1">710.839979341281*OFFSET($L$112,MATCH($N$1,$C$112:$C$113,0)-1,0)</f>
        <v>710.83997934128104</v>
      </c>
      <c r="F139" s="72">
        <f ca="1">331.746686165966*OFFSET($L$112,MATCH($N$1,$C$112:$C$113,0)-1,0)</f>
        <v>331.74668616596603</v>
      </c>
      <c r="I139" s="48"/>
      <c r="K139" s="73" t="s">
        <v>114</v>
      </c>
      <c r="L139" s="74">
        <f t="shared" ref="L139:M141" ca="1" si="2">C140</f>
        <v>3816.30575</v>
      </c>
      <c r="M139" s="74">
        <f t="shared" ca="1" si="2"/>
        <v>2340.2481250000001</v>
      </c>
      <c r="N139" s="74">
        <f ca="1">E140</f>
        <v>1199.4829999999999</v>
      </c>
      <c r="O139" s="74"/>
    </row>
    <row r="140" spans="1:15" ht="18" customHeight="1" x14ac:dyDescent="0.2">
      <c r="A140" s="187" t="s">
        <v>50</v>
      </c>
      <c r="B140" s="35" t="s">
        <v>115</v>
      </c>
      <c r="C140" s="75">
        <f ca="1">3816.30575*OFFSET($L$112,MATCH($N$1,$C$112:$C$113,0)-1,0)</f>
        <v>3816.30575</v>
      </c>
      <c r="D140" s="75">
        <f ca="1">2340.248125*OFFSET($L$112,MATCH($N$1,$C$112:$C$113,0)-1,0)</f>
        <v>2340.2481250000001</v>
      </c>
      <c r="E140" s="75">
        <f ca="1">1199.483*OFFSET($L$112,MATCH($N$1,$C$112:$C$113,0)-1,0)</f>
        <v>1199.4829999999999</v>
      </c>
      <c r="F140" s="76">
        <f ca="1">1595.8285*OFFSET($L$112,MATCH($N$1,$C$112:$C$113,0)-1,0)</f>
        <v>1595.8285000000001</v>
      </c>
      <c r="I140" s="48"/>
      <c r="K140" s="73" t="s">
        <v>116</v>
      </c>
      <c r="L140" s="74">
        <f t="shared" ca="1" si="2"/>
        <v>2980.23425</v>
      </c>
      <c r="M140" s="74">
        <f t="shared" ca="1" si="2"/>
        <v>1956.1959374999999</v>
      </c>
      <c r="N140" s="74">
        <f ca="1">E141</f>
        <v>1240.5666249999999</v>
      </c>
      <c r="O140" s="74"/>
    </row>
    <row r="141" spans="1:15" ht="18" customHeight="1" x14ac:dyDescent="0.2">
      <c r="A141" s="188"/>
      <c r="B141" s="37" t="s">
        <v>117</v>
      </c>
      <c r="C141" s="31">
        <f ca="1">2980.23425*OFFSET($L$112,MATCH($N$1,$C$112:$C$113,0)-1,0)</f>
        <v>2980.23425</v>
      </c>
      <c r="D141" s="31">
        <f ca="1">1956.1959375*OFFSET($L$112,MATCH($N$1,$C$112:$C$113,0)-1,0)</f>
        <v>1956.1959374999999</v>
      </c>
      <c r="E141" s="31">
        <f ca="1">1240.566625*OFFSET($L$112,MATCH($N$1,$C$112:$C$113,0)-1,0)</f>
        <v>1240.5666249999999</v>
      </c>
      <c r="F141" s="72">
        <f ca="1">1410.52075*OFFSET($L$112,MATCH($N$1,$C$112:$C$113,0)-1,0)</f>
        <v>1410.5207499999999</v>
      </c>
      <c r="I141" s="48"/>
      <c r="K141" s="73" t="s">
        <v>118</v>
      </c>
      <c r="L141" s="74">
        <f t="shared" ca="1" si="2"/>
        <v>836.07150000000001</v>
      </c>
      <c r="M141" s="74">
        <f t="shared" ca="1" si="2"/>
        <v>384.0521875</v>
      </c>
      <c r="N141" s="74">
        <f ca="1">E142</f>
        <v>-41.083624999999998</v>
      </c>
      <c r="O141" s="74"/>
    </row>
    <row r="142" spans="1:15" ht="18" customHeight="1" x14ac:dyDescent="0.2">
      <c r="A142" s="189"/>
      <c r="B142" s="39" t="s">
        <v>119</v>
      </c>
      <c r="C142" s="40">
        <f ca="1">836.0715*OFFSET($L$112,MATCH($N$1,$C$112:$C$113,0)-1,0)</f>
        <v>836.07150000000001</v>
      </c>
      <c r="D142" s="40">
        <f ca="1">384.0521875*OFFSET($L$112,MATCH($N$1,$C$112:$C$113,0)-1,0)</f>
        <v>384.0521875</v>
      </c>
      <c r="E142" s="40">
        <f ca="1">-41.083625*OFFSET($L$112,MATCH($N$1,$C$112:$C$113,0)-1,0)</f>
        <v>-41.083624999999998</v>
      </c>
      <c r="F142" s="65">
        <f ca="1">185.307859375*OFFSET($L$112,MATCH($N$1,$C$112:$C$113,0)-1,0)</f>
        <v>185.30785937499999</v>
      </c>
      <c r="I142" s="48"/>
      <c r="K142" s="73" t="s">
        <v>120</v>
      </c>
      <c r="L142" s="77">
        <f ca="1">IFERROR(L140/L$139,"")</f>
        <v>0.78092124825166331</v>
      </c>
      <c r="M142" s="77">
        <f t="shared" ref="M142:N143" ca="1" si="3">IFERROR(M140/M$139,"")</f>
        <v>0.83589253489947779</v>
      </c>
      <c r="N142" s="77">
        <f t="shared" ca="1" si="3"/>
        <v>1.0342511106868542</v>
      </c>
      <c r="O142" s="77"/>
    </row>
    <row r="143" spans="1:15" ht="18" customHeight="1" x14ac:dyDescent="0.2">
      <c r="I143" s="48"/>
      <c r="K143" s="73" t="s">
        <v>121</v>
      </c>
      <c r="L143" s="77">
        <f ca="1">IFERROR(L141/L$139,"")</f>
        <v>0.21907875174833674</v>
      </c>
      <c r="M143" s="77">
        <f t="shared" ca="1" si="3"/>
        <v>0.16410746510052218</v>
      </c>
      <c r="N143" s="77">
        <f t="shared" ca="1" si="3"/>
        <v>-3.4251110686854255E-2</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9</v>
      </c>
      <c r="B161" s="53"/>
      <c r="C161" s="78" t="s">
        <v>45</v>
      </c>
      <c r="D161" s="78" t="s">
        <v>122</v>
      </c>
      <c r="E161" s="78" t="s">
        <v>47</v>
      </c>
      <c r="F161" s="78" t="s">
        <v>123</v>
      </c>
      <c r="G161" s="79">
        <v>10</v>
      </c>
      <c r="H161" s="78"/>
      <c r="I161" s="78" t="s">
        <v>45</v>
      </c>
      <c r="J161" s="78" t="s">
        <v>122</v>
      </c>
      <c r="K161" s="78" t="s">
        <v>47</v>
      </c>
      <c r="L161" s="53" t="s">
        <v>123</v>
      </c>
      <c r="R161" s="21"/>
      <c r="S161" s="21"/>
    </row>
    <row r="162" spans="1:19" s="48" customFormat="1" x14ac:dyDescent="0.2">
      <c r="A162" s="49">
        <v>1</v>
      </c>
      <c r="B162" s="53" t="s">
        <v>20</v>
      </c>
      <c r="C162" s="53">
        <v>0.1778811513952421</v>
      </c>
      <c r="D162" s="53">
        <v>0.29057598460635936</v>
      </c>
      <c r="E162" s="53">
        <v>5.9390785357009743E-2</v>
      </c>
      <c r="F162" s="49">
        <v>12153634</v>
      </c>
      <c r="G162" s="49">
        <v>1</v>
      </c>
      <c r="H162" s="53" t="s">
        <v>20</v>
      </c>
      <c r="I162" s="53">
        <v>0.13854365995357085</v>
      </c>
      <c r="J162" s="53">
        <v>0.23907198123982398</v>
      </c>
      <c r="K162" s="53">
        <v>4.1719974712615543E-2</v>
      </c>
      <c r="L162" s="49">
        <v>12153634</v>
      </c>
      <c r="R162" s="21"/>
      <c r="S162" s="21"/>
    </row>
    <row r="163" spans="1:19" s="48" customFormat="1" x14ac:dyDescent="0.2">
      <c r="A163" s="49">
        <v>2</v>
      </c>
      <c r="B163" s="53" t="s">
        <v>265</v>
      </c>
      <c r="C163" s="53">
        <v>7.9375455548644169E-2</v>
      </c>
      <c r="D163" s="53">
        <v>0.18278895947636478</v>
      </c>
      <c r="E163" s="53">
        <v>0</v>
      </c>
      <c r="F163" s="49">
        <v>1692097</v>
      </c>
      <c r="G163" s="49">
        <v>2</v>
      </c>
      <c r="H163" s="53" t="s">
        <v>143</v>
      </c>
      <c r="I163" s="53">
        <v>9.1823621347141754E-2</v>
      </c>
      <c r="J163" s="53">
        <v>0.21380217802800994</v>
      </c>
      <c r="K163" s="53">
        <v>8.9217707415002193E-2</v>
      </c>
      <c r="L163" s="49">
        <v>553960</v>
      </c>
      <c r="N163" s="48" t="s">
        <v>124</v>
      </c>
      <c r="R163" s="21"/>
      <c r="S163" s="21"/>
    </row>
    <row r="164" spans="1:19" s="48" customFormat="1" x14ac:dyDescent="0.2">
      <c r="A164" s="49">
        <v>3</v>
      </c>
      <c r="B164" s="53" t="s">
        <v>98</v>
      </c>
      <c r="C164" s="53">
        <v>7.5743705623902896E-2</v>
      </c>
      <c r="D164" s="53">
        <v>0.14029893342723201</v>
      </c>
      <c r="E164" s="53">
        <v>0</v>
      </c>
      <c r="F164" s="49">
        <v>3050596</v>
      </c>
      <c r="G164" s="49">
        <v>3</v>
      </c>
      <c r="H164" s="53" t="s">
        <v>98</v>
      </c>
      <c r="I164" s="53">
        <v>0.10731666349916101</v>
      </c>
      <c r="J164" s="53">
        <v>0.19992334711493967</v>
      </c>
      <c r="K164" s="53">
        <v>4.4477141546472108E-2</v>
      </c>
      <c r="L164" s="49">
        <v>3050596</v>
      </c>
      <c r="N164" s="48" t="s">
        <v>125</v>
      </c>
      <c r="R164" s="21"/>
      <c r="S164" s="21"/>
    </row>
    <row r="165" spans="1:19" s="48" customFormat="1" x14ac:dyDescent="0.2">
      <c r="A165" s="49">
        <v>4</v>
      </c>
      <c r="B165" s="53" t="s">
        <v>143</v>
      </c>
      <c r="C165" s="53">
        <v>6.7830904795509753E-2</v>
      </c>
      <c r="D165" s="53">
        <v>0.13320076609625242</v>
      </c>
      <c r="E165" s="53">
        <v>5.584118609809146E-2</v>
      </c>
      <c r="F165" s="49">
        <v>553960</v>
      </c>
      <c r="G165" s="49">
        <v>4</v>
      </c>
      <c r="H165" s="53" t="s">
        <v>265</v>
      </c>
      <c r="I165" s="53">
        <v>4.077620362827427E-2</v>
      </c>
      <c r="J165" s="53">
        <v>9.4428649371385592E-2</v>
      </c>
      <c r="K165" s="53">
        <v>0</v>
      </c>
      <c r="L165" s="49">
        <v>1692097</v>
      </c>
      <c r="R165" s="21"/>
      <c r="S165" s="21"/>
    </row>
    <row r="166" spans="1:19" s="48" customFormat="1" x14ac:dyDescent="0.2">
      <c r="A166" s="49">
        <v>5</v>
      </c>
      <c r="B166" s="53" t="s">
        <v>126</v>
      </c>
      <c r="C166" s="53">
        <v>4.0997507235673428E-2</v>
      </c>
      <c r="D166" s="53">
        <v>8.0686293234705719E-2</v>
      </c>
      <c r="E166" s="53">
        <v>5.7657336634094225E-2</v>
      </c>
      <c r="F166" s="49">
        <v>3689192</v>
      </c>
      <c r="G166" s="49">
        <v>5</v>
      </c>
      <c r="H166" s="53" t="s">
        <v>126</v>
      </c>
      <c r="I166" s="53">
        <v>0</v>
      </c>
      <c r="J166" s="53">
        <v>5.7813996504311335E-2</v>
      </c>
      <c r="K166" s="53">
        <v>0</v>
      </c>
      <c r="L166" s="49">
        <v>3689192</v>
      </c>
      <c r="R166" s="21"/>
      <c r="S166" s="21"/>
    </row>
    <row r="167" spans="1:19" s="48" customFormat="1" x14ac:dyDescent="0.2">
      <c r="A167" s="49">
        <v>6</v>
      </c>
      <c r="B167" s="53" t="s">
        <v>128</v>
      </c>
      <c r="C167" s="53">
        <v>0</v>
      </c>
      <c r="D167" s="53">
        <v>0</v>
      </c>
      <c r="E167" s="53">
        <v>0.12493030106126767</v>
      </c>
      <c r="F167" s="49">
        <v>11115023</v>
      </c>
      <c r="G167" s="49">
        <v>6</v>
      </c>
      <c r="H167" s="53" t="s">
        <v>102</v>
      </c>
      <c r="I167" s="53">
        <v>0</v>
      </c>
      <c r="J167" s="53">
        <v>0</v>
      </c>
      <c r="K167" s="53">
        <v>9.1335177697472236E-2</v>
      </c>
      <c r="L167" s="49">
        <v>2480382</v>
      </c>
      <c r="R167" s="21"/>
      <c r="S167" s="21"/>
    </row>
    <row r="168" spans="1:19" s="48" customFormat="1" x14ac:dyDescent="0.2">
      <c r="A168" s="49">
        <v>7</v>
      </c>
      <c r="B168" s="53" t="s">
        <v>102</v>
      </c>
      <c r="C168" s="53">
        <v>0</v>
      </c>
      <c r="D168" s="53">
        <v>0</v>
      </c>
      <c r="E168" s="53">
        <v>6.5548315272539542E-2</v>
      </c>
      <c r="F168" s="49">
        <v>2480382</v>
      </c>
      <c r="G168" s="49">
        <v>7</v>
      </c>
      <c r="H168" s="53" t="s">
        <v>128</v>
      </c>
      <c r="I168" s="53">
        <v>0</v>
      </c>
      <c r="J168" s="53">
        <v>0</v>
      </c>
      <c r="K168" s="53">
        <v>8.4417925936492028E-2</v>
      </c>
      <c r="L168" s="49">
        <v>11115023</v>
      </c>
      <c r="R168" s="21"/>
      <c r="S168" s="21"/>
    </row>
    <row r="169" spans="1:19" s="48" customFormat="1" x14ac:dyDescent="0.2">
      <c r="A169" s="49">
        <v>8</v>
      </c>
      <c r="B169" s="53" t="s">
        <v>107</v>
      </c>
      <c r="C169" s="53">
        <v>0.55817127540102773</v>
      </c>
      <c r="D169" s="53">
        <v>0.17244906315908581</v>
      </c>
      <c r="E169" s="53">
        <v>0.63663207557699741</v>
      </c>
      <c r="F169" s="49">
        <v>5920853</v>
      </c>
      <c r="G169" s="49">
        <v>8</v>
      </c>
      <c r="H169" s="53" t="s">
        <v>145</v>
      </c>
      <c r="I169" s="53">
        <v>2.790984008181821E-2</v>
      </c>
      <c r="J169" s="53">
        <v>0</v>
      </c>
      <c r="K169" s="53">
        <v>0</v>
      </c>
      <c r="L169" s="49">
        <v>7434864</v>
      </c>
      <c r="R169" s="21"/>
      <c r="S169" s="21"/>
    </row>
    <row r="170" spans="1:19" s="48" customFormat="1" x14ac:dyDescent="0.2">
      <c r="A170" s="49">
        <v>9</v>
      </c>
      <c r="B170" s="53"/>
      <c r="C170" s="53">
        <v>0</v>
      </c>
      <c r="D170" s="53">
        <v>0</v>
      </c>
      <c r="E170" s="53">
        <v>0</v>
      </c>
      <c r="F170" s="49"/>
      <c r="G170" s="49">
        <v>9</v>
      </c>
      <c r="H170" s="53" t="s">
        <v>107</v>
      </c>
      <c r="I170" s="53">
        <v>0.59363001149003392</v>
      </c>
      <c r="J170" s="53">
        <v>0.19495984774152952</v>
      </c>
      <c r="K170" s="53">
        <v>0.64883207269194587</v>
      </c>
      <c r="L170" s="49">
        <v>5920853</v>
      </c>
      <c r="R170" s="21"/>
      <c r="S170" s="21"/>
    </row>
    <row r="171" spans="1:19" s="48" customFormat="1" x14ac:dyDescent="0.2">
      <c r="A171" s="49">
        <v>10</v>
      </c>
      <c r="B171" s="53"/>
      <c r="C171" s="53">
        <v>0</v>
      </c>
      <c r="D171" s="53">
        <v>0</v>
      </c>
      <c r="E171" s="53">
        <v>0</v>
      </c>
      <c r="F171" s="49"/>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09220A18-7770-4D3F-AB28-07E27ADEA026}">
      <formula1>$C$112:$C$113</formula1>
    </dataValidation>
  </dataValidations>
  <hyperlinks>
    <hyperlink ref="O1:P1" location="Home_page" display="Back to home page" xr:uid="{C9488F6E-3E3A-4964-8A64-86F47A052E84}"/>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83ACC73E-6BAA-4B37-B94A-E655CB988DB7}">
          <x14:colorSeries rgb="FF323232"/>
          <x14:colorNegative rgb="FFD00000"/>
          <x14:colorAxis rgb="FF000000"/>
          <x14:colorMarkers rgb="FFD00000"/>
          <x14:colorFirst rgb="FFD00000"/>
          <x14:colorLast rgb="FFD00000"/>
          <x14:colorHigh rgb="FFD00000"/>
          <x14:colorLow rgb="FFD00000"/>
          <x14:sparklines>
            <x14:sparkline>
              <xm:f>'NSWOS demersal over 24m'!D3:N3</xm:f>
              <xm:sqref>C3</xm:sqref>
            </x14:sparkline>
            <x14:sparkline>
              <xm:f>'NSWOS demersal over 24m'!D4:N4</xm:f>
              <xm:sqref>C4</xm:sqref>
            </x14:sparkline>
            <x14:sparkline>
              <xm:f>'NSWOS demersal over 24m'!D5:N5</xm:f>
              <xm:sqref>C5</xm:sqref>
            </x14:sparkline>
            <x14:sparkline>
              <xm:f>'NSWOS demersal over 24m'!D6:N6</xm:f>
              <xm:sqref>C6</xm:sqref>
            </x14:sparkline>
            <x14:sparkline>
              <xm:f>'NSWOS demersal over 24m'!D7:N7</xm:f>
              <xm:sqref>C7</xm:sqref>
            </x14:sparkline>
            <x14:sparkline>
              <xm:f>'NSWOS demersal over 24m'!D8:N8</xm:f>
              <xm:sqref>C8</xm:sqref>
            </x14:sparkline>
            <x14:sparkline>
              <xm:f>'NSWOS demersal over 24m'!D9:N9</xm:f>
              <xm:sqref>C9</xm:sqref>
            </x14:sparkline>
            <x14:sparkline>
              <xm:f>'NSWOS demersal over 24m'!D10:N10</xm:f>
              <xm:sqref>C10</xm:sqref>
            </x14:sparkline>
            <x14:sparkline>
              <xm:f>'NSWOS demersal over 24m'!D11:N11</xm:f>
              <xm:sqref>C11</xm:sqref>
            </x14:sparkline>
            <x14:sparkline>
              <xm:f>'NSWOS demersal over 24m'!D12:N12</xm:f>
              <xm:sqref>C12</xm:sqref>
            </x14:sparkline>
            <x14:sparkline>
              <xm:f>'NSWOS demersal over 24m'!D13:N13</xm:f>
              <xm:sqref>C13</xm:sqref>
            </x14:sparkline>
            <x14:sparkline>
              <xm:f>'NSWOS demersal over 24m'!D14:N14</xm:f>
              <xm:sqref>C14</xm:sqref>
            </x14:sparkline>
            <x14:sparkline>
              <xm:f>'NSWOS demersal over 24m'!D15:N15</xm:f>
              <xm:sqref>C15</xm:sqref>
            </x14:sparkline>
            <x14:sparkline>
              <xm:f>'NSWOS demersal over 24m'!D16:N16</xm:f>
              <xm:sqref>C16</xm:sqref>
            </x14:sparkline>
            <x14:sparkline>
              <xm:f>'NSWOS demersal over 24m'!D17:N17</xm:f>
              <xm:sqref>C17</xm:sqref>
            </x14:sparkline>
            <x14:sparkline>
              <xm:f>'NSWOS demersal over 24m'!D18:N18</xm:f>
              <xm:sqref>C18</xm:sqref>
            </x14:sparkline>
            <x14:sparkline>
              <xm:f>'NSWOS demersal over 24m'!D19:N19</xm:f>
              <xm:sqref>C19</xm:sqref>
            </x14:sparkline>
            <x14:sparkline>
              <xm:f>'NSWOS demersal over 24m'!D20:N20</xm:f>
              <xm:sqref>C20</xm:sqref>
            </x14:sparkline>
            <x14:sparkline>
              <xm:f>'NSWOS demersal over 24m'!D21:N21</xm:f>
              <xm:sqref>C21</xm:sqref>
            </x14:sparkline>
            <x14:sparkline>
              <xm:f>'NSWOS demersal over 24m'!D22:N22</xm:f>
              <xm:sqref>C22</xm:sqref>
            </x14:sparkline>
            <x14:sparkline>
              <xm:f>'NSWOS demersal over 24m'!D23:N23</xm:f>
              <xm:sqref>C23</xm:sqref>
            </x14:sparkline>
            <x14:sparkline>
              <xm:f>'NSWOS demersal over 24m'!D24:N24</xm:f>
              <xm:sqref>C24</xm:sqref>
            </x14:sparkline>
            <x14:sparkline>
              <xm:f>'NSWOS demersal over 24m'!D25:N25</xm:f>
              <xm:sqref>C25</xm:sqref>
            </x14:sparkline>
            <x14:sparkline>
              <xm:f>'NSWOS demersal over 24m'!D26:N26</xm:f>
              <xm:sqref>C26</xm:sqref>
            </x14:sparkline>
            <x14:sparkline>
              <xm:f>'NSWOS demersal over 24m'!D27:N27</xm:f>
              <xm:sqref>C27</xm:sqref>
            </x14:sparkline>
            <x14:sparkline>
              <xm:f>'NSWOS demersal over 24m'!D28:N28</xm:f>
              <xm:sqref>C28</xm:sqref>
            </x14:sparkline>
            <x14:sparkline>
              <xm:f>'NSWOS demersal over 24m'!D29:N29</xm:f>
              <xm:sqref>C29</xm:sqref>
            </x14:sparkline>
            <x14:sparkline>
              <xm:f>'NSWOS demersal over 24m'!D30:N30</xm:f>
              <xm:sqref>C30</xm:sqref>
            </x14:sparkline>
            <x14:sparkline>
              <xm:f>'NSWOS demersal over 24m'!D31:N31</xm:f>
              <xm:sqref>C31</xm:sqref>
            </x14:sparkline>
            <x14:sparkline>
              <xm:f>'NSWOS demersal over 24m'!D32:N32</xm:f>
              <xm:sqref>C32</xm:sqref>
            </x14:sparkline>
            <x14:sparkline>
              <xm:f>'NSWOS demersal over 24m'!D33:N33</xm:f>
              <xm:sqref>C33</xm:sqref>
            </x14:sparkline>
            <x14:sparkline>
              <xm:f>'NSWOS demersal over 24m'!D34:N34</xm:f>
              <xm:sqref>C34</xm:sqref>
            </x14:sparkline>
            <x14:sparkline>
              <xm:f>'NSWOS demersal over 24m'!D35:N35</xm:f>
              <xm:sqref>C35</xm:sqref>
            </x14:sparkline>
            <x14:sparkline>
              <xm:f>'NSWOS demersal over 24m'!D36:N36</xm:f>
              <xm:sqref>C36</xm:sqref>
            </x14:sparkline>
            <x14:sparkline>
              <xm:f>'NSWOS demersal over 24m'!D37:N37</xm:f>
              <xm:sqref>C37</xm:sqref>
            </x14:sparkline>
            <x14:sparkline>
              <xm:f>'NSWOS demersal over 24m'!D38:N38</xm:f>
              <xm:sqref>C38</xm:sqref>
            </x14:sparkline>
            <x14:sparkline>
              <xm:f>'NSWOS demersal over 24m'!D39:N39</xm:f>
              <xm:sqref>C39</xm:sqref>
            </x14:sparkline>
            <x14:sparkline>
              <xm:f>'NSWOS demersal over 24m'!D40:N40</xm:f>
              <xm:sqref>C40</xm:sqref>
            </x14:sparkline>
            <x14:sparkline>
              <xm:f>'NSWOS demersal over 24m'!D41:N41</xm:f>
              <xm:sqref>C41</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A1FF7-2CB0-4259-9073-124FCAE315B7}">
  <sheetPr codeName="Feuil22">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329</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32</v>
      </c>
      <c r="E3" s="28">
        <v>30</v>
      </c>
      <c r="F3" s="28">
        <v>20</v>
      </c>
      <c r="G3" s="28">
        <v>30</v>
      </c>
      <c r="H3" s="28">
        <v>28</v>
      </c>
      <c r="I3" s="28">
        <v>25</v>
      </c>
      <c r="J3" s="28">
        <v>25</v>
      </c>
      <c r="K3" s="28">
        <v>25</v>
      </c>
      <c r="L3" s="28">
        <v>23</v>
      </c>
      <c r="M3" s="28">
        <v>27</v>
      </c>
      <c r="N3" s="28">
        <v>26</v>
      </c>
      <c r="O3" s="29">
        <f t="shared" ref="O3:O41" si="0">IF(N3=0,"",IFERROR(IF(AND(N3&gt;0,D3&lt;0),"na",IF(AND(N3&lt;0,D3&lt;0),-1,1)*(N3-D3)/D3),""))</f>
        <v>-0.1875</v>
      </c>
      <c r="P3" s="29">
        <f t="shared" ref="P3:P41" si="1">IF(N3=0,"",IFERROR(IF(AND(N3&gt;0,J3&lt;0),"na",IF(AND(N3&lt;0,J3&lt;0),-1,1)*(N3-J3)/J3),""))</f>
        <v>0.04</v>
      </c>
    </row>
    <row r="4" spans="1:17" ht="18" customHeight="1" x14ac:dyDescent="0.2">
      <c r="A4" s="193"/>
      <c r="B4" s="30" t="s">
        <v>55</v>
      </c>
      <c r="C4" s="31"/>
      <c r="D4" s="31">
        <v>16549</v>
      </c>
      <c r="E4" s="31">
        <v>15632</v>
      </c>
      <c r="F4" s="31">
        <v>10872</v>
      </c>
      <c r="G4" s="31">
        <v>15932</v>
      </c>
      <c r="H4" s="31">
        <v>15072</v>
      </c>
      <c r="I4" s="31">
        <v>13569</v>
      </c>
      <c r="J4" s="31">
        <v>13473</v>
      </c>
      <c r="K4" s="31">
        <v>13197</v>
      </c>
      <c r="L4" s="31">
        <v>12126</v>
      </c>
      <c r="M4" s="31">
        <v>14229</v>
      </c>
      <c r="N4" s="31">
        <v>13945</v>
      </c>
      <c r="O4" s="29">
        <f t="shared" si="0"/>
        <v>-0.15735089733518642</v>
      </c>
      <c r="P4" s="29">
        <f t="shared" si="1"/>
        <v>3.5033029021004976E-2</v>
      </c>
    </row>
    <row r="5" spans="1:17" ht="18" customHeight="1" x14ac:dyDescent="0.2">
      <c r="A5" s="193"/>
      <c r="B5" s="30" t="s">
        <v>56</v>
      </c>
      <c r="C5" s="31"/>
      <c r="D5" s="31">
        <v>6872</v>
      </c>
      <c r="E5" s="31">
        <v>6504</v>
      </c>
      <c r="F5" s="31">
        <v>4706</v>
      </c>
      <c r="G5" s="31">
        <v>7057</v>
      </c>
      <c r="H5" s="31">
        <v>6617</v>
      </c>
      <c r="I5" s="31">
        <v>6108</v>
      </c>
      <c r="J5" s="31">
        <v>6228</v>
      </c>
      <c r="K5" s="31">
        <v>6237</v>
      </c>
      <c r="L5" s="31">
        <v>5660</v>
      </c>
      <c r="M5" s="31">
        <v>6564</v>
      </c>
      <c r="N5" s="31">
        <v>6487</v>
      </c>
      <c r="O5" s="29">
        <f t="shared" si="0"/>
        <v>-5.6024447031431897E-2</v>
      </c>
      <c r="P5" s="29">
        <f t="shared" si="1"/>
        <v>4.1586384071933206E-2</v>
      </c>
      <c r="Q5" s="32"/>
    </row>
    <row r="6" spans="1:17" ht="18" customHeight="1" x14ac:dyDescent="0.2">
      <c r="A6" s="193"/>
      <c r="B6" s="30" t="s">
        <v>57</v>
      </c>
      <c r="C6" s="31"/>
      <c r="D6" s="31">
        <v>13285.724609375</v>
      </c>
      <c r="E6" s="31">
        <v>12527.822265625</v>
      </c>
      <c r="F6" s="31">
        <v>8623.353515625</v>
      </c>
      <c r="G6" s="31">
        <v>12873.521484375</v>
      </c>
      <c r="H6" s="31">
        <v>12103.2060546875</v>
      </c>
      <c r="I6" s="31">
        <v>10986.9697265625</v>
      </c>
      <c r="J6" s="31">
        <v>11015.40625</v>
      </c>
      <c r="K6" s="31">
        <v>10890.71484375</v>
      </c>
      <c r="L6" s="31">
        <v>9994.849609375</v>
      </c>
      <c r="M6" s="31">
        <v>11710.287109375</v>
      </c>
      <c r="N6" s="31">
        <v>10528.88671875</v>
      </c>
      <c r="O6" s="29">
        <f t="shared" si="0"/>
        <v>-0.2075037660105985</v>
      </c>
      <c r="P6" s="29">
        <f t="shared" si="1"/>
        <v>-4.4167189135670783E-2</v>
      </c>
    </row>
    <row r="7" spans="1:17" ht="18" customHeight="1" x14ac:dyDescent="0.2">
      <c r="A7" s="193"/>
      <c r="B7" s="30" t="s">
        <v>58</v>
      </c>
      <c r="C7" s="31"/>
      <c r="D7" s="31">
        <v>20634.23828125</v>
      </c>
      <c r="E7" s="31">
        <v>20605.134765625</v>
      </c>
      <c r="F7" s="31">
        <v>17023.658203125</v>
      </c>
      <c r="G7" s="31">
        <v>24155.08203125</v>
      </c>
      <c r="H7" s="31">
        <v>26031.48046875</v>
      </c>
      <c r="I7" s="31">
        <v>27196.4609375</v>
      </c>
      <c r="J7" s="31">
        <v>27774.46484375</v>
      </c>
      <c r="K7" s="31">
        <v>28375.8046875</v>
      </c>
      <c r="L7" s="31">
        <v>26012.4765625</v>
      </c>
      <c r="M7" s="31">
        <v>26615.669921875</v>
      </c>
      <c r="N7" s="31">
        <v>19215.400390625</v>
      </c>
      <c r="O7" s="29">
        <f t="shared" si="0"/>
        <v>-6.8761340800948062E-2</v>
      </c>
      <c r="P7" s="29">
        <f t="shared" si="1"/>
        <v>-0.30816307357407174</v>
      </c>
    </row>
    <row r="8" spans="1:17" ht="18" customHeight="1" x14ac:dyDescent="0.2">
      <c r="A8" s="193"/>
      <c r="B8" s="30" t="s">
        <v>59</v>
      </c>
      <c r="C8" s="33"/>
      <c r="D8" s="33">
        <f ca="1">37.693644*OFFSET(D$112,MATCH($N$1,$C$112:$C$113,0)-1,0)</f>
        <v>37.693643999999999</v>
      </c>
      <c r="E8" s="33">
        <f ca="1">33.031364*OFFSET(E$112,MATCH($N$1,$C$112:$C$113,0)-1,0)</f>
        <v>33.031364000000004</v>
      </c>
      <c r="F8" s="33">
        <f ca="1">26.33461*OFFSET(F$112,MATCH($N$1,$C$112:$C$113,0)-1,0)</f>
        <v>26.334610000000001</v>
      </c>
      <c r="G8" s="33">
        <f ca="1">41.065244*OFFSET(G$112,MATCH($N$1,$C$112:$C$113,0)-1,0)</f>
        <v>41.065244</v>
      </c>
      <c r="H8" s="33">
        <f ca="1">43.059628*OFFSET(H$112,MATCH($N$1,$C$112:$C$113,0)-1,0)</f>
        <v>43.059627999999996</v>
      </c>
      <c r="I8" s="33">
        <f ca="1">48.479172*OFFSET(I$112,MATCH($N$1,$C$112:$C$113,0)-1,0)</f>
        <v>48.479171999999998</v>
      </c>
      <c r="J8" s="33">
        <f ca="1">54.7085*OFFSET(J$112,MATCH($N$1,$C$112:$C$113,0)-1,0)</f>
        <v>54.708500000000001</v>
      </c>
      <c r="K8" s="33">
        <f ca="1">52.365308*OFFSET(K$112,MATCH($N$1,$C$112:$C$113,0)-1,0)</f>
        <v>52.365307999999999</v>
      </c>
      <c r="L8" s="33">
        <f ca="1">50.158156*OFFSET(L$112,MATCH($N$1,$C$112:$C$113,0)-1,0)</f>
        <v>50.158155999999998</v>
      </c>
      <c r="M8" s="33">
        <f ca="1">43.500052*OFFSET(M$112,MATCH($N$1,$C$112:$C$113,0)-1,0)</f>
        <v>43.500051999999997</v>
      </c>
      <c r="N8" s="33">
        <v>33.150812000000002</v>
      </c>
      <c r="O8" s="29">
        <f t="shared" ca="1" si="0"/>
        <v>-0.12051984148839516</v>
      </c>
      <c r="P8" s="29">
        <f t="shared" ca="1" si="1"/>
        <v>-0.39404640960728221</v>
      </c>
    </row>
    <row r="9" spans="1:17" ht="18" customHeight="1" x14ac:dyDescent="0.2">
      <c r="A9" s="193"/>
      <c r="B9" s="30" t="s">
        <v>60</v>
      </c>
      <c r="C9" s="31"/>
      <c r="D9" s="31">
        <v>5472</v>
      </c>
      <c r="E9" s="31">
        <v>4525</v>
      </c>
      <c r="F9" s="31">
        <v>3233</v>
      </c>
      <c r="G9" s="31">
        <v>4515</v>
      </c>
      <c r="H9" s="31">
        <v>5346</v>
      </c>
      <c r="I9" s="31">
        <v>4995</v>
      </c>
      <c r="J9" s="31">
        <v>4823</v>
      </c>
      <c r="K9" s="31">
        <v>5527</v>
      </c>
      <c r="L9" s="31">
        <v>5280</v>
      </c>
      <c r="M9" s="31">
        <v>5412</v>
      </c>
      <c r="N9" s="31">
        <v>4198</v>
      </c>
      <c r="O9" s="29">
        <f t="shared" si="0"/>
        <v>-0.2328216374269006</v>
      </c>
      <c r="P9" s="29">
        <f t="shared" si="1"/>
        <v>-0.12958739373833714</v>
      </c>
    </row>
    <row r="10" spans="1:17" ht="18" customHeight="1" x14ac:dyDescent="0.2">
      <c r="A10" s="193"/>
      <c r="B10" s="30" t="s">
        <v>61</v>
      </c>
      <c r="C10" s="31"/>
      <c r="D10" s="31">
        <v>266.38992309570313</v>
      </c>
      <c r="E10" s="31">
        <v>218.19842529296875</v>
      </c>
      <c r="F10" s="31">
        <v>148.77694702148438</v>
      </c>
      <c r="G10" s="31">
        <v>238.80406188964844</v>
      </c>
      <c r="H10" s="31">
        <v>278.65774536132813</v>
      </c>
      <c r="I10" s="31">
        <v>321.76351928710938</v>
      </c>
      <c r="J10" s="31">
        <v>210.15531921386719</v>
      </c>
      <c r="K10" s="31">
        <v>279.75955200195313</v>
      </c>
      <c r="L10" s="31">
        <v>236.09977722167969</v>
      </c>
      <c r="M10" s="31">
        <v>267.8216552734375</v>
      </c>
      <c r="N10" s="31">
        <v>200.65724182128906</v>
      </c>
      <c r="O10" s="34">
        <f t="shared" si="0"/>
        <v>-0.24675363283467358</v>
      </c>
      <c r="P10" s="34">
        <f t="shared" si="1"/>
        <v>-4.5195512671807693E-2</v>
      </c>
    </row>
    <row r="11" spans="1:17" ht="18" customHeight="1" x14ac:dyDescent="0.2">
      <c r="A11" s="194" t="s">
        <v>27</v>
      </c>
      <c r="B11" s="35" t="s">
        <v>62</v>
      </c>
      <c r="C11" s="36"/>
      <c r="D11" s="36">
        <v>24.929374694824219</v>
      </c>
      <c r="E11" s="36">
        <v>24.821332931518555</v>
      </c>
      <c r="F11" s="36">
        <v>24.888999938964844</v>
      </c>
      <c r="G11" s="36">
        <v>25.580333709716797</v>
      </c>
      <c r="H11" s="36">
        <v>25.558929443359375</v>
      </c>
      <c r="I11" s="36">
        <v>25.900400161743164</v>
      </c>
      <c r="J11" s="36">
        <v>26.18120002746582</v>
      </c>
      <c r="K11" s="36">
        <v>26.014400482177734</v>
      </c>
      <c r="L11" s="36">
        <v>26.026521682739258</v>
      </c>
      <c r="M11" s="36">
        <v>26.001482009887695</v>
      </c>
      <c r="N11" s="36">
        <v>26.144615173339844</v>
      </c>
      <c r="O11" s="29">
        <f t="shared" si="0"/>
        <v>4.8747330945606529E-2</v>
      </c>
      <c r="P11" s="29">
        <f t="shared" si="1"/>
        <v>-1.3973711704427839E-3</v>
      </c>
    </row>
    <row r="12" spans="1:17" ht="18" customHeight="1" x14ac:dyDescent="0.2">
      <c r="A12" s="195"/>
      <c r="B12" s="37" t="s">
        <v>55</v>
      </c>
      <c r="C12" s="31"/>
      <c r="D12" s="31">
        <v>517.15625</v>
      </c>
      <c r="E12" s="31">
        <v>521.066650390625</v>
      </c>
      <c r="F12" s="31">
        <v>543.5999755859375</v>
      </c>
      <c r="G12" s="31">
        <v>531.066650390625</v>
      </c>
      <c r="H12" s="31">
        <v>538.28570556640625</v>
      </c>
      <c r="I12" s="31">
        <v>542.760009765625</v>
      </c>
      <c r="J12" s="31">
        <v>538.91998291015625</v>
      </c>
      <c r="K12" s="31">
        <v>527.8800048828125</v>
      </c>
      <c r="L12" s="31">
        <v>527.2174072265625</v>
      </c>
      <c r="M12" s="31">
        <v>527</v>
      </c>
      <c r="N12" s="31">
        <v>536.34613037109375</v>
      </c>
      <c r="O12" s="29">
        <f t="shared" si="0"/>
        <v>3.7106542502568132E-2</v>
      </c>
      <c r="P12" s="29">
        <f t="shared" si="1"/>
        <v>-4.7759456332714771E-3</v>
      </c>
    </row>
    <row r="13" spans="1:17" ht="18" customHeight="1" x14ac:dyDescent="0.2">
      <c r="A13" s="195"/>
      <c r="B13" s="37" t="s">
        <v>56</v>
      </c>
      <c r="C13" s="31"/>
      <c r="D13" s="31">
        <v>214.75</v>
      </c>
      <c r="E13" s="31">
        <v>216.80000305175781</v>
      </c>
      <c r="F13" s="31">
        <v>235.30000305175781</v>
      </c>
      <c r="G13" s="31">
        <v>235.23333740234375</v>
      </c>
      <c r="H13" s="31">
        <v>236.32142639160156</v>
      </c>
      <c r="I13" s="31">
        <v>244.32000732421875</v>
      </c>
      <c r="J13" s="31">
        <v>249.1199951171875</v>
      </c>
      <c r="K13" s="31">
        <v>249.47999572753906</v>
      </c>
      <c r="L13" s="31">
        <v>246.08695983886719</v>
      </c>
      <c r="M13" s="31">
        <v>243.11111450195313</v>
      </c>
      <c r="N13" s="31">
        <v>249.5</v>
      </c>
      <c r="O13" s="29">
        <f t="shared" si="0"/>
        <v>0.16181606519208383</v>
      </c>
      <c r="P13" s="29">
        <f t="shared" si="1"/>
        <v>1.5253889300766222E-3</v>
      </c>
    </row>
    <row r="14" spans="1:17" ht="18" customHeight="1" x14ac:dyDescent="0.2">
      <c r="A14" s="195"/>
      <c r="B14" s="37" t="s">
        <v>57</v>
      </c>
      <c r="C14" s="31"/>
      <c r="D14" s="31">
        <v>415.17889404296875</v>
      </c>
      <c r="E14" s="31">
        <v>417.59408569335938</v>
      </c>
      <c r="F14" s="31">
        <v>431.16766357421875</v>
      </c>
      <c r="G14" s="31">
        <v>429.11737060546875</v>
      </c>
      <c r="H14" s="31">
        <v>432.25735473632813</v>
      </c>
      <c r="I14" s="31">
        <v>439.47879028320313</v>
      </c>
      <c r="J14" s="31">
        <v>440.61624145507813</v>
      </c>
      <c r="K14" s="31">
        <v>435.62860107421875</v>
      </c>
      <c r="L14" s="31">
        <v>434.55868530273438</v>
      </c>
      <c r="M14" s="31">
        <v>433.71432495117188</v>
      </c>
      <c r="N14" s="31">
        <v>438.70361328125</v>
      </c>
      <c r="O14" s="29">
        <f t="shared" si="0"/>
        <v>5.6661645319202016E-2</v>
      </c>
      <c r="P14" s="29">
        <f t="shared" si="1"/>
        <v>-4.3408027073898094E-3</v>
      </c>
    </row>
    <row r="15" spans="1:17" ht="18" customHeight="1" x14ac:dyDescent="0.2">
      <c r="A15" s="195"/>
      <c r="B15" s="37" t="s">
        <v>58</v>
      </c>
      <c r="C15" s="33"/>
      <c r="D15" s="33">
        <v>644.8199462890625</v>
      </c>
      <c r="E15" s="33">
        <v>686.83782958984375</v>
      </c>
      <c r="F15" s="33">
        <v>851.18292236328125</v>
      </c>
      <c r="G15" s="33">
        <v>805.16943359375</v>
      </c>
      <c r="H15" s="33">
        <v>929.69573974609375</v>
      </c>
      <c r="I15" s="33">
        <v>1087.8585205078125</v>
      </c>
      <c r="J15" s="33">
        <v>1110.9786376953125</v>
      </c>
      <c r="K15" s="33">
        <v>1135.0322265625</v>
      </c>
      <c r="L15" s="33">
        <v>1130.9771728515625</v>
      </c>
      <c r="M15" s="33">
        <v>985.76556396484375</v>
      </c>
      <c r="N15" s="33">
        <v>739.0538330078125</v>
      </c>
      <c r="O15" s="29">
        <f t="shared" si="0"/>
        <v>0.14613984455826132</v>
      </c>
      <c r="P15" s="29">
        <f t="shared" si="1"/>
        <v>-0.33477223779842014</v>
      </c>
    </row>
    <row r="16" spans="1:17" ht="18" customHeight="1" x14ac:dyDescent="0.2">
      <c r="A16" s="195"/>
      <c r="B16" s="37" t="s">
        <v>63</v>
      </c>
      <c r="C16" s="33"/>
      <c r="D16" s="33">
        <f ca="1">1177.926375*OFFSET(D$112,MATCH($N$1,$C$112:$C$113,0)-1,0)</f>
        <v>1177.926375</v>
      </c>
      <c r="E16" s="33">
        <f ca="1">1101.0455*OFFSET(E$112,MATCH($N$1,$C$112:$C$113,0)-1,0)</f>
        <v>1101.0454999999999</v>
      </c>
      <c r="F16" s="33">
        <f ca="1">1316.7305*OFFSET(F$112,MATCH($N$1,$C$112:$C$113,0)-1,0)</f>
        <v>1316.7304999999999</v>
      </c>
      <c r="G16" s="33">
        <f ca="1">1368.8415*OFFSET(G$112,MATCH($N$1,$C$112:$C$113,0)-1,0)</f>
        <v>1368.8415</v>
      </c>
      <c r="H16" s="33">
        <f ca="1">1537.843875*OFFSET(H$112,MATCH($N$1,$C$112:$C$113,0)-1,0)</f>
        <v>1537.843875</v>
      </c>
      <c r="I16" s="33">
        <f ca="1">1939.16675*OFFSET(I$112,MATCH($N$1,$C$112:$C$113,0)-1,0)</f>
        <v>1939.1667500000001</v>
      </c>
      <c r="J16" s="33">
        <f ca="1">2188.34*OFFSET(J$112,MATCH($N$1,$C$112:$C$113,0)-1,0)</f>
        <v>2188.34</v>
      </c>
      <c r="K16" s="33">
        <f ca="1">2094.61225*OFFSET(K$112,MATCH($N$1,$C$112:$C$113,0)-1,0)</f>
        <v>2094.6122500000001</v>
      </c>
      <c r="L16" s="33">
        <f ca="1">2180.7895*OFFSET(L$112,MATCH($N$1,$C$112:$C$113,0)-1,0)</f>
        <v>2180.7894999999999</v>
      </c>
      <c r="M16" s="33">
        <f ca="1">1611.113*OFFSET(M$112,MATCH($N$1,$C$112:$C$113,0)-1,0)</f>
        <v>1611.1130000000001</v>
      </c>
      <c r="N16" s="33">
        <v>1275.03125</v>
      </c>
      <c r="O16" s="29">
        <f t="shared" ca="1" si="0"/>
        <v>8.2437134494080744E-2</v>
      </c>
      <c r="P16" s="29">
        <f t="shared" ca="1" si="1"/>
        <v>-0.41735230814224483</v>
      </c>
    </row>
    <row r="17" spans="1:16" ht="18" customHeight="1" x14ac:dyDescent="0.2">
      <c r="A17" s="195"/>
      <c r="B17" s="37" t="s">
        <v>60</v>
      </c>
      <c r="C17" s="31"/>
      <c r="D17" s="31">
        <v>171</v>
      </c>
      <c r="E17" s="31">
        <v>150.83332824707031</v>
      </c>
      <c r="F17" s="31">
        <v>161.64999389648438</v>
      </c>
      <c r="G17" s="31">
        <v>150.5</v>
      </c>
      <c r="H17" s="31">
        <v>190.92857360839844</v>
      </c>
      <c r="I17" s="31">
        <v>199.80000305175781</v>
      </c>
      <c r="J17" s="31">
        <v>192.91999816894531</v>
      </c>
      <c r="K17" s="31">
        <v>221.08000183105469</v>
      </c>
      <c r="L17" s="31">
        <v>229.56521606445313</v>
      </c>
      <c r="M17" s="31">
        <v>200.44444274902344</v>
      </c>
      <c r="N17" s="31">
        <v>161.46153259277344</v>
      </c>
      <c r="O17" s="29">
        <f t="shared" si="0"/>
        <v>-5.5780511153371709E-2</v>
      </c>
      <c r="P17" s="29">
        <f t="shared" si="1"/>
        <v>-0.16306482414862369</v>
      </c>
    </row>
    <row r="18" spans="1:16" ht="18" customHeight="1" x14ac:dyDescent="0.2">
      <c r="A18" s="195"/>
      <c r="B18" s="37" t="s">
        <v>64</v>
      </c>
      <c r="C18" s="31"/>
      <c r="D18" s="31">
        <v>22.4375</v>
      </c>
      <c r="E18" s="31">
        <v>23.066667556762695</v>
      </c>
      <c r="F18" s="31">
        <v>20.649999618530273</v>
      </c>
      <c r="G18" s="31">
        <v>23.566667556762695</v>
      </c>
      <c r="H18" s="31">
        <v>23.928571701049805</v>
      </c>
      <c r="I18" s="31">
        <v>23.920000076293945</v>
      </c>
      <c r="J18" s="31">
        <v>23.239999771118164</v>
      </c>
      <c r="K18" s="31">
        <v>21.959999084472656</v>
      </c>
      <c r="L18" s="31">
        <v>24.695652008056641</v>
      </c>
      <c r="M18" s="31">
        <v>26.074073791503906</v>
      </c>
      <c r="N18" s="31">
        <v>26.541666030883789</v>
      </c>
      <c r="O18" s="29">
        <f t="shared" si="0"/>
        <v>0.18291547769955604</v>
      </c>
      <c r="P18" s="29">
        <f t="shared" si="1"/>
        <v>0.14206825698289452</v>
      </c>
    </row>
    <row r="19" spans="1:16" ht="18" customHeight="1" x14ac:dyDescent="0.2">
      <c r="A19" s="195"/>
      <c r="B19" s="37" t="s">
        <v>65</v>
      </c>
      <c r="C19" s="38"/>
      <c r="D19" s="38">
        <v>3.7708768844604492</v>
      </c>
      <c r="E19" s="38">
        <v>4.5536212921142578</v>
      </c>
      <c r="F19" s="38">
        <v>5.265592098236084</v>
      </c>
      <c r="G19" s="38">
        <v>5.3499631881713867</v>
      </c>
      <c r="H19" s="38">
        <v>4.8693380355834961</v>
      </c>
      <c r="I19" s="38">
        <v>5.444737434387207</v>
      </c>
      <c r="J19" s="38">
        <v>5.7587532997131348</v>
      </c>
      <c r="K19" s="38">
        <v>5.1340336799621582</v>
      </c>
      <c r="L19" s="38">
        <v>4.926605224609375</v>
      </c>
      <c r="M19" s="38">
        <v>4.9178991317749023</v>
      </c>
      <c r="N19" s="38">
        <v>4.5772747993469238</v>
      </c>
      <c r="O19" s="29">
        <f t="shared" si="0"/>
        <v>0.2138489109017562</v>
      </c>
      <c r="P19" s="29">
        <f t="shared" si="1"/>
        <v>-0.2051622007188717</v>
      </c>
    </row>
    <row r="20" spans="1:16" ht="18" customHeight="1" x14ac:dyDescent="0.2">
      <c r="A20" s="196"/>
      <c r="B20" s="39" t="s">
        <v>28</v>
      </c>
      <c r="C20" s="40"/>
      <c r="D20" s="40">
        <f ca="1">1827*OFFSET(D$112,MATCH($N$1,$C$112:$C$113,0)-1,0)</f>
        <v>1827</v>
      </c>
      <c r="E20" s="40">
        <f ca="1">1603*OFFSET(E$112,MATCH($N$1,$C$112:$C$113,0)-1,0)</f>
        <v>1603</v>
      </c>
      <c r="F20" s="40">
        <f ca="1">1547*OFFSET(F$112,MATCH($N$1,$C$112:$C$113,0)-1,0)</f>
        <v>1547</v>
      </c>
      <c r="G20" s="40">
        <f ca="1">1700*OFFSET(G$112,MATCH($N$1,$C$112:$C$113,0)-1,0)</f>
        <v>1700</v>
      </c>
      <c r="H20" s="40">
        <f ca="1">1654*OFFSET(H$112,MATCH($N$1,$C$112:$C$113,0)-1,0)</f>
        <v>1654</v>
      </c>
      <c r="I20" s="40">
        <f ca="1">1783*OFFSET(I$112,MATCH($N$1,$C$112:$C$113,0)-1,0)</f>
        <v>1783</v>
      </c>
      <c r="J20" s="40">
        <f ca="1">1970*OFFSET(J$112,MATCH($N$1,$C$112:$C$113,0)-1,0)</f>
        <v>1970</v>
      </c>
      <c r="K20" s="40">
        <f ca="1">1845*OFFSET(K$112,MATCH($N$1,$C$112:$C$113,0)-1,0)</f>
        <v>1845</v>
      </c>
      <c r="L20" s="40">
        <f ca="1">1928*OFFSET(L$112,MATCH($N$1,$C$112:$C$113,0)-1,0)</f>
        <v>1928</v>
      </c>
      <c r="M20" s="40">
        <f ca="1">1634*OFFSET(M$112,MATCH($N$1,$C$112:$C$113,0)-1,0)</f>
        <v>1634</v>
      </c>
      <c r="N20" s="40">
        <v>1725</v>
      </c>
      <c r="O20" s="34">
        <f t="shared" ca="1" si="0"/>
        <v>-5.5829228243021348E-2</v>
      </c>
      <c r="P20" s="34">
        <f t="shared" ca="1" si="1"/>
        <v>-0.12436548223350254</v>
      </c>
    </row>
    <row r="21" spans="1:16" ht="18" customHeight="1" x14ac:dyDescent="0.2">
      <c r="A21" s="197" t="s">
        <v>29</v>
      </c>
      <c r="B21" s="35" t="s">
        <v>66</v>
      </c>
      <c r="C21" s="41"/>
      <c r="D21" s="41">
        <v>7.1804181121119175</v>
      </c>
      <c r="E21" s="41">
        <v>8.4675204750370394</v>
      </c>
      <c r="F21" s="41">
        <v>9.6634899870868356</v>
      </c>
      <c r="G21" s="41">
        <v>9.9904098579477321</v>
      </c>
      <c r="H21" s="41">
        <v>8.924383222780703</v>
      </c>
      <c r="I21" s="41">
        <v>9.9660243818735381</v>
      </c>
      <c r="J21" s="41">
        <v>10.633405650152223</v>
      </c>
      <c r="K21" s="41">
        <v>9.7251156431219528</v>
      </c>
      <c r="L21" s="41">
        <v>9.3298584197246246</v>
      </c>
      <c r="M21" s="41">
        <v>9.2658685066931881</v>
      </c>
      <c r="N21" s="41">
        <v>8.4001855010920377</v>
      </c>
      <c r="O21" s="29">
        <f t="shared" si="0"/>
        <v>0.16987414520090668</v>
      </c>
      <c r="P21" s="29">
        <f t="shared" si="1"/>
        <v>-0.21001927534178252</v>
      </c>
    </row>
    <row r="22" spans="1:16" ht="18" customHeight="1" x14ac:dyDescent="0.2">
      <c r="A22" s="197"/>
      <c r="B22" s="37" t="s">
        <v>67</v>
      </c>
      <c r="C22" s="38"/>
      <c r="D22" s="38">
        <f ca="1">13.1168459140573*OFFSET(D$112,MATCH($N$1,$C$112:$C$113,0)-1,0)</f>
        <v>13.116845914057301</v>
      </c>
      <c r="E22" s="38">
        <f ca="1">13.5739834259928*OFFSET(E$112,MATCH($N$1,$C$112:$C$113,0)-1,0)</f>
        <v>13.5739834259928</v>
      </c>
      <c r="F22" s="38">
        <f ca="1">14.9488572528141*OFFSET(F$112,MATCH($N$1,$C$112:$C$113,0)-1,0)</f>
        <v>14.948857252814101</v>
      </c>
      <c r="G22" s="38">
        <f ca="1">16.9843601172618*OFFSET(G$112,MATCH($N$1,$C$112:$C$113,0)-1,0)</f>
        <v>16.984360117261801</v>
      </c>
      <c r="H22" s="38">
        <f ca="1">14.7621501213443*OFFSET(H$112,MATCH($N$1,$C$112:$C$113,0)-1,0)</f>
        <v>14.7621501213443</v>
      </c>
      <c r="I22" s="38">
        <f ca="1">17.7649783925921*OFFSET(I$112,MATCH($N$1,$C$112:$C$113,0)-1,0)</f>
        <v>17.764978392592099</v>
      </c>
      <c r="J22" s="38">
        <f ca="1">20.9450534249029*OFFSET(J$112,MATCH($N$1,$C$112:$C$113,0)-1,0)</f>
        <v>20.945053424902898</v>
      </c>
      <c r="K22" s="38">
        <f ca="1">17.9469321505015*OFFSET(K$112,MATCH($N$1,$C$112:$C$113,0)-1,0)</f>
        <v>17.9469321505015</v>
      </c>
      <c r="L22" s="38">
        <f ca="1">17.9901573317541*OFFSET(L$112,MATCH($N$1,$C$112:$C$113,0)-1,0)</f>
        <v>17.990157331754101</v>
      </c>
      <c r="M22" s="38">
        <f ca="1">15.1439264599391*OFFSET(M$112,MATCH($N$1,$C$112:$C$113,0)-1,0)</f>
        <v>15.143926459939101</v>
      </c>
      <c r="N22" s="38">
        <v>14.492177080118108</v>
      </c>
      <c r="O22" s="29">
        <f t="shared" ca="1" si="0"/>
        <v>0.10485227737461389</v>
      </c>
      <c r="P22" s="29">
        <f t="shared" ca="1" si="1"/>
        <v>-0.30808593388988725</v>
      </c>
    </row>
    <row r="23" spans="1:16" ht="18" customHeight="1" x14ac:dyDescent="0.2">
      <c r="A23" s="197"/>
      <c r="B23" s="37" t="s">
        <v>11</v>
      </c>
      <c r="C23" s="38"/>
      <c r="D23" s="38">
        <f ca="1">12.1274480788062*OFFSET(D$112,MATCH($N$1,$C$112:$C$113,0)-1,0)</f>
        <v>12.1274480788062</v>
      </c>
      <c r="E23" s="38">
        <f ca="1">12.823836040592*OFFSET(E$112,MATCH($N$1,$C$112:$C$113,0)-1,0)</f>
        <v>12.823836040592001</v>
      </c>
      <c r="F23" s="38">
        <f ca="1">14.4194292255445*OFFSET(F$112,MATCH($N$1,$C$112:$C$113,0)-1,0)</f>
        <v>14.4194292255445</v>
      </c>
      <c r="G23" s="38">
        <f ca="1">15.2131811538163*OFFSET(G$112,MATCH($N$1,$C$112:$C$113,0)-1,0)</f>
        <v>15.213181153816301</v>
      </c>
      <c r="H23" s="38">
        <f ca="1">13.8569243563233*OFFSET(H$112,MATCH($N$1,$C$112:$C$113,0)-1,0)</f>
        <v>13.856924356323301</v>
      </c>
      <c r="I23" s="38">
        <f ca="1">14.7770219280478*OFFSET(I$112,MATCH($N$1,$C$112:$C$113,0)-1,0)</f>
        <v>14.7770219280478</v>
      </c>
      <c r="J23" s="38">
        <f ca="1">18.0638365806268*OFFSET(J$112,MATCH($N$1,$C$112:$C$113,0)-1,0)</f>
        <v>18.063836580626798</v>
      </c>
      <c r="K23" s="38">
        <f ca="1">15.4870524937171*OFFSET(K$112,MATCH($N$1,$C$112:$C$113,0)-1,0)</f>
        <v>15.487052493717099</v>
      </c>
      <c r="L23" s="38">
        <f ca="1">15.7779438421646*OFFSET(L$112,MATCH($N$1,$C$112:$C$113,0)-1,0)</f>
        <v>15.7779438421646</v>
      </c>
      <c r="M23" s="38">
        <f ca="1">12.8660563724495*OFFSET(M$112,MATCH($N$1,$C$112:$C$113,0)-1,0)</f>
        <v>12.866056372449499</v>
      </c>
      <c r="N23" s="38">
        <v>12.910696833750032</v>
      </c>
      <c r="O23" s="29">
        <f t="shared" ca="1" si="0"/>
        <v>6.4584795569038927E-2</v>
      </c>
      <c r="P23" s="29">
        <f t="shared" ca="1" si="1"/>
        <v>-0.28527382452094552</v>
      </c>
    </row>
    <row r="24" spans="1:16" ht="18" customHeight="1" x14ac:dyDescent="0.2">
      <c r="A24" s="197"/>
      <c r="B24" s="37" t="s">
        <v>12</v>
      </c>
      <c r="C24" s="38"/>
      <c r="D24" s="38">
        <f ca="1">1.37507586086422*OFFSET(D$112,MATCH($N$1,$C$112:$C$113,0)-1,0)</f>
        <v>1.37507586086422</v>
      </c>
      <c r="E24" s="38">
        <f ca="1">1.44512471439112*OFFSET(E$112,MATCH($N$1,$C$112:$C$113,0)-1,0)</f>
        <v>1.4451247143911199</v>
      </c>
      <c r="F24" s="38">
        <f ca="1">3.34388708152288*OFFSET(F$112,MATCH($N$1,$C$112:$C$113,0)-1,0)</f>
        <v>3.3438870815228801</v>
      </c>
      <c r="G24" s="38">
        <f ca="1">4.04324634729803*OFFSET(G$112,MATCH($N$1,$C$112:$C$113,0)-1,0)</f>
        <v>4.0432463472980302</v>
      </c>
      <c r="H24" s="38">
        <f ca="1">1.35054824100091*OFFSET(H$112,MATCH($N$1,$C$112:$C$113,0)-1,0)</f>
        <v>1.35054824100091</v>
      </c>
      <c r="I24" s="38">
        <f ca="1">4.16479316578944*OFFSET(I$112,MATCH($N$1,$C$112:$C$113,0)-1,0)</f>
        <v>4.1647931657894404</v>
      </c>
      <c r="J24" s="38">
        <f ca="1">3.71145116310719*OFFSET(J$112,MATCH($N$1,$C$112:$C$113,0)-1,0)</f>
        <v>3.7114511631071898</v>
      </c>
      <c r="K24" s="38">
        <f ca="1">2.50948760913*OFFSET(K$112,MATCH($N$1,$C$112:$C$113,0)-1,0)</f>
        <v>2.5094876091299998</v>
      </c>
      <c r="L24" s="38">
        <f ca="1">2.26691546275693*OFFSET(L$112,MATCH($N$1,$C$112:$C$113,0)-1,0)</f>
        <v>2.2669154627569301</v>
      </c>
      <c r="M24" s="38">
        <f ca="1">2.4996080412099*OFFSET(M$112,MATCH($N$1,$C$112:$C$113,0)-1,0)</f>
        <v>2.4996080412099002</v>
      </c>
      <c r="N24" s="38">
        <v>1.7869394941572738</v>
      </c>
      <c r="O24" s="29">
        <f t="shared" ca="1" si="0"/>
        <v>0.29952066283397782</v>
      </c>
      <c r="P24" s="29">
        <f t="shared" ca="1" si="1"/>
        <v>-0.51853347501378244</v>
      </c>
    </row>
    <row r="25" spans="1:16" ht="18" customHeight="1" x14ac:dyDescent="0.2">
      <c r="A25" s="197"/>
      <c r="B25" s="37" t="s">
        <v>68</v>
      </c>
      <c r="C25" s="33"/>
      <c r="D25" s="33">
        <f ca="1">141.49*OFFSET(D$112,MATCH($N$1,$C$112:$C$113,0)-1,0)</f>
        <v>141.49</v>
      </c>
      <c r="E25" s="33">
        <f ca="1">151.38*OFFSET(E$112,MATCH($N$1,$C$112:$C$113,0)-1,0)</f>
        <v>151.38</v>
      </c>
      <c r="F25" s="33">
        <f ca="1">177*OFFSET(F$112,MATCH($N$1,$C$112:$C$113,0)-1,0)</f>
        <v>177</v>
      </c>
      <c r="G25" s="33">
        <f ca="1">171.96*OFFSET(G$112,MATCH($N$1,$C$112:$C$113,0)-1,0)</f>
        <v>171.96</v>
      </c>
      <c r="H25" s="33">
        <f ca="1">154.52*OFFSET(H$112,MATCH($N$1,$C$112:$C$113,0)-1,0)</f>
        <v>154.52000000000001</v>
      </c>
      <c r="I25" s="33">
        <f ca="1">150.67*OFFSET(I$112,MATCH($N$1,$C$112:$C$113,0)-1,0)</f>
        <v>150.66999999999999</v>
      </c>
      <c r="J25" s="33">
        <f ca="1">260.32*OFFSET(J$112,MATCH($N$1,$C$112:$C$113,0)-1,0)</f>
        <v>260.32</v>
      </c>
      <c r="K25" s="33">
        <f ca="1">187.18*OFFSET(K$112,MATCH($N$1,$C$112:$C$113,0)-1,0)</f>
        <v>187.18</v>
      </c>
      <c r="L25" s="33">
        <f ca="1">212.45*OFFSET(L$112,MATCH($N$1,$C$112:$C$113,0)-1,0)</f>
        <v>212.45</v>
      </c>
      <c r="M25" s="33">
        <f ca="1">162.42*OFFSET(M$112,MATCH($N$1,$C$112:$C$113,0)-1,0)</f>
        <v>162.41999999999999</v>
      </c>
      <c r="N25" s="33">
        <v>165.21</v>
      </c>
      <c r="O25" s="29">
        <f t="shared" ca="1" si="0"/>
        <v>0.16764435649162482</v>
      </c>
      <c r="P25" s="29">
        <f t="shared" ca="1" si="1"/>
        <v>-0.36535802089735703</v>
      </c>
    </row>
    <row r="26" spans="1:16" ht="18" customHeight="1" x14ac:dyDescent="0.2">
      <c r="A26" s="198"/>
      <c r="B26" s="37" t="s">
        <v>69</v>
      </c>
      <c r="C26" s="33"/>
      <c r="D26" s="33">
        <f ca="1">14.84*OFFSET(D$112,MATCH($N$1,$C$112:$C$113,0)-1,0)</f>
        <v>14.84</v>
      </c>
      <c r="E26" s="33">
        <f ca="1">16.11*OFFSET(E$112,MATCH($N$1,$C$112:$C$113,0)-1,0)</f>
        <v>16.11</v>
      </c>
      <c r="F26" s="33">
        <f ca="1">39.59*OFFSET(F$112,MATCH($N$1,$C$112:$C$113,0)-1,0)</f>
        <v>39.590000000000003</v>
      </c>
      <c r="G26" s="33">
        <f ca="1">40.94*OFFSET(G$112,MATCH($N$1,$C$112:$C$113,0)-1,0)</f>
        <v>40.94</v>
      </c>
      <c r="H26" s="33">
        <f ca="1">14.14*OFFSET(H$112,MATCH($N$1,$C$112:$C$113,0)-1,0)</f>
        <v>14.14</v>
      </c>
      <c r="I26" s="33">
        <f ca="1">35.32*OFFSET(I$112,MATCH($N$1,$C$112:$C$113,0)-1,0)</f>
        <v>35.32</v>
      </c>
      <c r="J26" s="33">
        <f ca="1">46.13*OFFSET(J$112,MATCH($N$1,$C$112:$C$113,0)-1,0)</f>
        <v>46.13</v>
      </c>
      <c r="K26" s="33">
        <f ca="1">26.17*OFFSET(K$112,MATCH($N$1,$C$112:$C$113,0)-1,0)</f>
        <v>26.17</v>
      </c>
      <c r="L26" s="33">
        <f ca="1">26.77*OFFSET(L$112,MATCH($N$1,$C$112:$C$113,0)-1,0)</f>
        <v>26.77</v>
      </c>
      <c r="M26" s="33">
        <f ca="1">26.81*OFFSET(M$112,MATCH($N$1,$C$112:$C$113,0)-1,0)</f>
        <v>26.81</v>
      </c>
      <c r="N26" s="33">
        <v>20.37</v>
      </c>
      <c r="O26" s="34">
        <f t="shared" ca="1" si="0"/>
        <v>0.37264150943396235</v>
      </c>
      <c r="P26" s="34">
        <f t="shared" ca="1" si="1"/>
        <v>-0.55842185128983313</v>
      </c>
    </row>
    <row r="27" spans="1:16" ht="18" customHeight="1" x14ac:dyDescent="0.2">
      <c r="A27" s="187" t="s">
        <v>30</v>
      </c>
      <c r="B27" s="35" t="s">
        <v>63</v>
      </c>
      <c r="C27" s="36"/>
      <c r="D27" s="36">
        <f ca="1">1177.9*OFFSET(D$112,MATCH($N$1,$C$112:$C$113,0)-1,0)</f>
        <v>1177.9000000000001</v>
      </c>
      <c r="E27" s="36">
        <f ca="1">1101*OFFSET(E$112,MATCH($N$1,$C$112:$C$113,0)-1,0)</f>
        <v>1101</v>
      </c>
      <c r="F27" s="36">
        <f ca="1">1316.7*OFFSET(F$112,MATCH($N$1,$C$112:$C$113,0)-1,0)</f>
        <v>1316.7</v>
      </c>
      <c r="G27" s="36">
        <f ca="1">1368.8*OFFSET(G$112,MATCH($N$1,$C$112:$C$113,0)-1,0)</f>
        <v>1368.8</v>
      </c>
      <c r="H27" s="36">
        <f ca="1">1537.8*OFFSET(H$112,MATCH($N$1,$C$112:$C$113,0)-1,0)</f>
        <v>1537.8</v>
      </c>
      <c r="I27" s="36">
        <f ca="1">1939.2*OFFSET(I$112,MATCH($N$1,$C$112:$C$113,0)-1,0)</f>
        <v>1939.2</v>
      </c>
      <c r="J27" s="36">
        <f ca="1">2188.3*OFFSET(J$112,MATCH($N$1,$C$112:$C$113,0)-1,0)</f>
        <v>2188.3000000000002</v>
      </c>
      <c r="K27" s="36">
        <f ca="1">2094.6*OFFSET(K$112,MATCH($N$1,$C$112:$C$113,0)-1,0)</f>
        <v>2094.6</v>
      </c>
      <c r="L27" s="36">
        <f ca="1">2180.8*OFFSET(L$112,MATCH($N$1,$C$112:$C$113,0)-1,0)</f>
        <v>2180.8000000000002</v>
      </c>
      <c r="M27" s="36">
        <f ca="1">1611.1*OFFSET(M$112,MATCH($N$1,$C$112:$C$113,0)-1,0)</f>
        <v>1611.1</v>
      </c>
      <c r="N27" s="36">
        <v>1275</v>
      </c>
      <c r="O27" s="29">
        <f t="shared" ca="1" si="0"/>
        <v>8.2434841667374054E-2</v>
      </c>
      <c r="P27" s="29">
        <f t="shared" ca="1" si="1"/>
        <v>-0.417355938399671</v>
      </c>
    </row>
    <row r="28" spans="1:16" ht="18" customHeight="1" x14ac:dyDescent="0.2">
      <c r="A28" s="199"/>
      <c r="B28" s="37" t="s">
        <v>70</v>
      </c>
      <c r="C28" s="33"/>
      <c r="D28" s="33">
        <f ca="1">34.6*OFFSET(D$112,MATCH($N$1,$C$112:$C$113,0)-1,0)</f>
        <v>34.6</v>
      </c>
      <c r="E28" s="33">
        <f ca="1">56.4*OFFSET(E$112,MATCH($N$1,$C$112:$C$113,0)-1,0)</f>
        <v>56.4</v>
      </c>
      <c r="F28" s="33">
        <f ca="1">247.9*OFFSET(F$112,MATCH($N$1,$C$112:$C$113,0)-1,0)</f>
        <v>247.9</v>
      </c>
      <c r="G28" s="33">
        <f ca="1">183.1*OFFSET(G$112,MATCH($N$1,$C$112:$C$113,0)-1,0)</f>
        <v>183.1</v>
      </c>
      <c r="H28" s="33">
        <f ca="1">46.4*OFFSET(H$112,MATCH($N$1,$C$112:$C$113,0)-1,0)</f>
        <v>46.4</v>
      </c>
      <c r="I28" s="33">
        <f ca="1">128.5*OFFSET(I$112,MATCH($N$1,$C$112:$C$113,0)-1,0)</f>
        <v>128.5</v>
      </c>
      <c r="J28" s="33">
        <f ca="1">86.7*OFFSET(J$112,MATCH($N$1,$C$112:$C$113,0)-1,0)</f>
        <v>86.7</v>
      </c>
      <c r="K28" s="33">
        <f ca="1">5.8*OFFSET(K$112,MATCH($N$1,$C$112:$C$113,0)-1,0)</f>
        <v>5.8</v>
      </c>
      <c r="L28" s="33">
        <f ca="1">6.6*OFFSET(L$112,MATCH($N$1,$C$112:$C$113,0)-1,0)</f>
        <v>6.6</v>
      </c>
      <c r="M28" s="33">
        <f ca="1">23.6*OFFSET(M$112,MATCH($N$1,$C$112:$C$113,0)-1,0)</f>
        <v>23.6</v>
      </c>
      <c r="N28" s="33">
        <v>18.100000000000001</v>
      </c>
      <c r="O28" s="29">
        <f t="shared" ca="1" si="0"/>
        <v>-0.47687861271676296</v>
      </c>
      <c r="P28" s="29">
        <f t="shared" ca="1" si="1"/>
        <v>-0.79123414071510945</v>
      </c>
    </row>
    <row r="29" spans="1:16" ht="18" customHeight="1" x14ac:dyDescent="0.2">
      <c r="A29" s="199"/>
      <c r="B29" s="42" t="s">
        <v>71</v>
      </c>
      <c r="C29" s="43"/>
      <c r="D29" s="43">
        <f ca="1">1212.6*OFFSET(D$112,MATCH($N$1,$C$112:$C$113,0)-1,0)</f>
        <v>1212.5999999999999</v>
      </c>
      <c r="E29" s="43">
        <f ca="1">1157.4*OFFSET(E$112,MATCH($N$1,$C$112:$C$113,0)-1,0)</f>
        <v>1157.4000000000001</v>
      </c>
      <c r="F29" s="43">
        <f ca="1">1564.6*OFFSET(F$112,MATCH($N$1,$C$112:$C$113,0)-1,0)</f>
        <v>1564.6</v>
      </c>
      <c r="G29" s="43">
        <f ca="1">1552*OFFSET(G$112,MATCH($N$1,$C$112:$C$113,0)-1,0)</f>
        <v>1552</v>
      </c>
      <c r="H29" s="43">
        <f ca="1">1584.2*OFFSET(H$112,MATCH($N$1,$C$112:$C$113,0)-1,0)</f>
        <v>1584.2</v>
      </c>
      <c r="I29" s="43">
        <f ca="1">2067.6*OFFSET(I$112,MATCH($N$1,$C$112:$C$113,0)-1,0)</f>
        <v>2067.6</v>
      </c>
      <c r="J29" s="43">
        <f ca="1">2275.1*OFFSET(J$112,MATCH($N$1,$C$112:$C$113,0)-1,0)</f>
        <v>2275.1</v>
      </c>
      <c r="K29" s="43">
        <f ca="1">2100.4*OFFSET(K$112,MATCH($N$1,$C$112:$C$113,0)-1,0)</f>
        <v>2100.4</v>
      </c>
      <c r="L29" s="43">
        <f ca="1">2187.4*OFFSET(L$112,MATCH($N$1,$C$112:$C$113,0)-1,0)</f>
        <v>2187.4</v>
      </c>
      <c r="M29" s="43">
        <f ca="1">1634.7*OFFSET(M$112,MATCH($N$1,$C$112:$C$113,0)-1,0)</f>
        <v>1634.7</v>
      </c>
      <c r="N29" s="43">
        <v>1293.1000000000001</v>
      </c>
      <c r="O29" s="29">
        <f t="shared" ca="1" si="0"/>
        <v>6.6386277420419124E-2</v>
      </c>
      <c r="P29" s="29">
        <f t="shared" ca="1" si="1"/>
        <v>-0.43162937892839864</v>
      </c>
    </row>
    <row r="30" spans="1:16" ht="18" customHeight="1" x14ac:dyDescent="0.2">
      <c r="A30" s="199"/>
      <c r="B30" s="37" t="s">
        <v>72</v>
      </c>
      <c r="C30" s="33"/>
      <c r="D30" s="33">
        <f ca="1">170*OFFSET(D$112,MATCH($N$1,$C$112:$C$113,0)-1,0)</f>
        <v>170</v>
      </c>
      <c r="E30" s="33">
        <f ca="1">155.8*OFFSET(E$112,MATCH($N$1,$C$112:$C$113,0)-1,0)</f>
        <v>155.80000000000001</v>
      </c>
      <c r="F30" s="33">
        <f ca="1">154.4*OFFSET(F$112,MATCH($N$1,$C$112:$C$113,0)-1,0)</f>
        <v>154.4</v>
      </c>
      <c r="G30" s="33">
        <f ca="1">130.5*OFFSET(G$112,MATCH($N$1,$C$112:$C$113,0)-1,0)</f>
        <v>130.5</v>
      </c>
      <c r="H30" s="33">
        <f ca="1">116.8*OFFSET(H$112,MATCH($N$1,$C$112:$C$113,0)-1,0)</f>
        <v>116.8</v>
      </c>
      <c r="I30" s="33">
        <f ca="1">116.5*OFFSET(I$112,MATCH($N$1,$C$112:$C$113,0)-1,0)</f>
        <v>116.5</v>
      </c>
      <c r="J30" s="33">
        <f ca="1">137*OFFSET(J$112,MATCH($N$1,$C$112:$C$113,0)-1,0)</f>
        <v>137</v>
      </c>
      <c r="K30" s="33">
        <f ca="1">183.7*OFFSET(K$112,MATCH($N$1,$C$112:$C$113,0)-1,0)</f>
        <v>183.7</v>
      </c>
      <c r="L30" s="33">
        <f ca="1">183.3*OFFSET(L$112,MATCH($N$1,$C$112:$C$113,0)-1,0)</f>
        <v>183.3</v>
      </c>
      <c r="M30" s="33">
        <f ca="1">113.2*OFFSET(M$112,MATCH($N$1,$C$112:$C$113,0)-1,0)</f>
        <v>113.2</v>
      </c>
      <c r="N30" s="33">
        <v>115.7</v>
      </c>
      <c r="O30" s="29">
        <f t="shared" ca="1" si="0"/>
        <v>-0.31941176470588234</v>
      </c>
      <c r="P30" s="29">
        <f t="shared" ca="1" si="1"/>
        <v>-0.15547445255474451</v>
      </c>
    </row>
    <row r="31" spans="1:16" ht="18" customHeight="1" x14ac:dyDescent="0.2">
      <c r="A31" s="199"/>
      <c r="B31" s="37" t="s">
        <v>73</v>
      </c>
      <c r="C31" s="33"/>
      <c r="D31" s="33">
        <f ca="1">273.7*OFFSET(D$112,MATCH($N$1,$C$112:$C$113,0)-1,0)</f>
        <v>273.7</v>
      </c>
      <c r="E31" s="33">
        <f ca="1">277.9*OFFSET(E$112,MATCH($N$1,$C$112:$C$113,0)-1,0)</f>
        <v>277.89999999999998</v>
      </c>
      <c r="F31" s="33">
        <f ca="1">309*OFFSET(F$112,MATCH($N$1,$C$112:$C$113,0)-1,0)</f>
        <v>309</v>
      </c>
      <c r="G31" s="33">
        <f ca="1">302.7*OFFSET(G$112,MATCH($N$1,$C$112:$C$113,0)-1,0)</f>
        <v>302.7</v>
      </c>
      <c r="H31" s="33">
        <f ca="1">360.8*OFFSET(H$112,MATCH($N$1,$C$112:$C$113,0)-1,0)</f>
        <v>360.8</v>
      </c>
      <c r="I31" s="33">
        <f ca="1">519.3*OFFSET(I$112,MATCH($N$1,$C$112:$C$113,0)-1,0)</f>
        <v>519.29999999999995</v>
      </c>
      <c r="J31" s="33">
        <f ca="1">603.6*OFFSET(J$112,MATCH($N$1,$C$112:$C$113,0)-1,0)</f>
        <v>603.6</v>
      </c>
      <c r="K31" s="33">
        <f ca="1">592.4*OFFSET(K$112,MATCH($N$1,$C$112:$C$113,0)-1,0)</f>
        <v>592.4</v>
      </c>
      <c r="L31" s="33">
        <f ca="1">657.6*OFFSET(L$112,MATCH($N$1,$C$112:$C$113,0)-1,0)</f>
        <v>657.6</v>
      </c>
      <c r="M31" s="33">
        <f ca="1">483.8*OFFSET(M$112,MATCH($N$1,$C$112:$C$113,0)-1,0)</f>
        <v>483.8</v>
      </c>
      <c r="N31" s="33">
        <v>370.2</v>
      </c>
      <c r="O31" s="29">
        <f t="shared" ca="1" si="0"/>
        <v>0.35257581293386919</v>
      </c>
      <c r="P31" s="29">
        <f t="shared" ca="1" si="1"/>
        <v>-0.38667992047713723</v>
      </c>
    </row>
    <row r="32" spans="1:16" ht="18" customHeight="1" x14ac:dyDescent="0.2">
      <c r="A32" s="199"/>
      <c r="B32" s="37" t="s">
        <v>74</v>
      </c>
      <c r="C32" s="33"/>
      <c r="D32" s="33">
        <f ca="1">437.3*OFFSET(D$112,MATCH($N$1,$C$112:$C$113,0)-1,0)</f>
        <v>437.3</v>
      </c>
      <c r="E32" s="33">
        <f ca="1">389.8*OFFSET(E$112,MATCH($N$1,$C$112:$C$113,0)-1,0)</f>
        <v>389.8</v>
      </c>
      <c r="F32" s="33">
        <f ca="1">562.1*OFFSET(F$112,MATCH($N$1,$C$112:$C$113,0)-1,0)</f>
        <v>562.1</v>
      </c>
      <c r="G32" s="33">
        <f ca="1">498.3*OFFSET(G$112,MATCH($N$1,$C$112:$C$113,0)-1,0)</f>
        <v>498.3</v>
      </c>
      <c r="H32" s="33">
        <f ca="1">637.1*OFFSET(H$112,MATCH($N$1,$C$112:$C$113,0)-1,0)</f>
        <v>637.1</v>
      </c>
      <c r="I32" s="33">
        <f ca="1">678.1*OFFSET(I$112,MATCH($N$1,$C$112:$C$113,0)-1,0)</f>
        <v>678.1</v>
      </c>
      <c r="J32" s="33">
        <f ca="1">786.1*OFFSET(J$112,MATCH($N$1,$C$112:$C$113,0)-1,0)</f>
        <v>786.1</v>
      </c>
      <c r="K32" s="33">
        <f ca="1">764.6*OFFSET(K$112,MATCH($N$1,$C$112:$C$113,0)-1,0)</f>
        <v>764.6</v>
      </c>
      <c r="L32" s="33">
        <f ca="1">692*OFFSET(L$112,MATCH($N$1,$C$112:$C$113,0)-1,0)</f>
        <v>692</v>
      </c>
      <c r="M32" s="33">
        <f ca="1">502.6*OFFSET(M$112,MATCH($N$1,$C$112:$C$113,0)-1,0)</f>
        <v>502.6</v>
      </c>
      <c r="N32" s="33">
        <v>397.7</v>
      </c>
      <c r="O32" s="29">
        <f t="shared" ca="1" si="0"/>
        <v>-9.0555682597759021E-2</v>
      </c>
      <c r="P32" s="29">
        <f t="shared" ca="1" si="1"/>
        <v>-0.49408472204554132</v>
      </c>
    </row>
    <row r="33" spans="1:16" ht="18" customHeight="1" x14ac:dyDescent="0.2">
      <c r="A33" s="199"/>
      <c r="B33" s="37" t="s">
        <v>75</v>
      </c>
      <c r="C33" s="33"/>
      <c r="D33" s="33">
        <f ca="1">881*OFFSET(D$112,MATCH($N$1,$C$112:$C$113,0)-1,0)</f>
        <v>881</v>
      </c>
      <c r="E33" s="33">
        <f ca="1">823.4*OFFSET(E$112,MATCH($N$1,$C$112:$C$113,0)-1,0)</f>
        <v>823.4</v>
      </c>
      <c r="F33" s="33">
        <f ca="1">1025.5*OFFSET(F$112,MATCH($N$1,$C$112:$C$113,0)-1,0)</f>
        <v>1025.5</v>
      </c>
      <c r="G33" s="33">
        <f ca="1">931.5*OFFSET(G$112,MATCH($N$1,$C$112:$C$113,0)-1,0)</f>
        <v>931.5</v>
      </c>
      <c r="H33" s="33">
        <f ca="1">1114.6*OFFSET(H$112,MATCH($N$1,$C$112:$C$113,0)-1,0)</f>
        <v>1114.5999999999999</v>
      </c>
      <c r="I33" s="33">
        <f ca="1">1313.9*OFFSET(I$112,MATCH($N$1,$C$112:$C$113,0)-1,0)</f>
        <v>1313.9</v>
      </c>
      <c r="J33" s="33">
        <f ca="1">1526.6*OFFSET(J$112,MATCH($N$1,$C$112:$C$113,0)-1,0)</f>
        <v>1526.6</v>
      </c>
      <c r="K33" s="33">
        <f ca="1">1540.7*OFFSET(K$112,MATCH($N$1,$C$112:$C$113,0)-1,0)</f>
        <v>1540.7</v>
      </c>
      <c r="L33" s="33">
        <f ca="1">1532.9*OFFSET(L$112,MATCH($N$1,$C$112:$C$113,0)-1,0)</f>
        <v>1532.9</v>
      </c>
      <c r="M33" s="33">
        <f ca="1">1099.6*OFFSET(M$112,MATCH($N$1,$C$112:$C$113,0)-1,0)</f>
        <v>1099.5999999999999</v>
      </c>
      <c r="N33" s="33">
        <v>883.6</v>
      </c>
      <c r="O33" s="29">
        <f t="shared" ca="1" si="0"/>
        <v>2.9511918274688111E-3</v>
      </c>
      <c r="P33" s="29">
        <f t="shared" ca="1" si="1"/>
        <v>-0.42119743220227951</v>
      </c>
    </row>
    <row r="34" spans="1:16" ht="18" customHeight="1" x14ac:dyDescent="0.2">
      <c r="A34" s="199"/>
      <c r="B34" s="37" t="s">
        <v>76</v>
      </c>
      <c r="C34" s="33"/>
      <c r="D34" s="33">
        <f ca="1">208.1*OFFSET(D$112,MATCH($N$1,$C$112:$C$113,0)-1,0)</f>
        <v>208.1</v>
      </c>
      <c r="E34" s="33">
        <f ca="1">216.8*OFFSET(E$112,MATCH($N$1,$C$112:$C$113,0)-1,0)</f>
        <v>216.8</v>
      </c>
      <c r="F34" s="33">
        <f ca="1">244.6*OFFSET(F$112,MATCH($N$1,$C$112:$C$113,0)-1,0)</f>
        <v>244.6</v>
      </c>
      <c r="G34" s="33">
        <f ca="1">294.6*OFFSET(G$112,MATCH($N$1,$C$112:$C$113,0)-1,0)</f>
        <v>294.60000000000002</v>
      </c>
      <c r="H34" s="33">
        <f ca="1">328.9*OFFSET(H$112,MATCH($N$1,$C$112:$C$113,0)-1,0)</f>
        <v>328.9</v>
      </c>
      <c r="I34" s="33">
        <f ca="1">299.1*OFFSET(I$112,MATCH($N$1,$C$112:$C$113,0)-1,0)</f>
        <v>299.10000000000002</v>
      </c>
      <c r="J34" s="33">
        <f ca="1">360.7*OFFSET(J$112,MATCH($N$1,$C$112:$C$113,0)-1,0)</f>
        <v>360.7</v>
      </c>
      <c r="K34" s="33">
        <f ca="1">266.8*OFFSET(K$112,MATCH($N$1,$C$112:$C$113,0)-1,0)</f>
        <v>266.8</v>
      </c>
      <c r="L34" s="33">
        <f ca="1">379.7*OFFSET(L$112,MATCH($N$1,$C$112:$C$113,0)-1,0)</f>
        <v>379.7</v>
      </c>
      <c r="M34" s="33">
        <f ca="1">269.2*OFFSET(M$112,MATCH($N$1,$C$112:$C$113,0)-1,0)</f>
        <v>269.2</v>
      </c>
      <c r="N34" s="33">
        <v>252.3</v>
      </c>
      <c r="O34" s="29">
        <f t="shared" ca="1" si="0"/>
        <v>0.21239788563190781</v>
      </c>
      <c r="P34" s="29">
        <f t="shared" ca="1" si="1"/>
        <v>-0.30052675353479341</v>
      </c>
    </row>
    <row r="35" spans="1:16" ht="18" customHeight="1" x14ac:dyDescent="0.2">
      <c r="A35" s="199"/>
      <c r="B35" s="37" t="s">
        <v>77</v>
      </c>
      <c r="C35" s="33"/>
      <c r="D35" s="33">
        <f ca="1">1089.1*OFFSET(D$112,MATCH($N$1,$C$112:$C$113,0)-1,0)</f>
        <v>1089.0999999999999</v>
      </c>
      <c r="E35" s="33">
        <f ca="1">1040.2*OFFSET(E$112,MATCH($N$1,$C$112:$C$113,0)-1,0)</f>
        <v>1040.2</v>
      </c>
      <c r="F35" s="33">
        <f ca="1">1270.1*OFFSET(F$112,MATCH($N$1,$C$112:$C$113,0)-1,0)</f>
        <v>1270.0999999999999</v>
      </c>
      <c r="G35" s="33">
        <f ca="1">1226.1*OFFSET(G$112,MATCH($N$1,$C$112:$C$113,0)-1,0)</f>
        <v>1226.0999999999999</v>
      </c>
      <c r="H35" s="33">
        <f ca="1">1443.5*OFFSET(H$112,MATCH($N$1,$C$112:$C$113,0)-1,0)</f>
        <v>1443.5</v>
      </c>
      <c r="I35" s="33">
        <f ca="1">1613*OFFSET(I$112,MATCH($N$1,$C$112:$C$113,0)-1,0)</f>
        <v>1613</v>
      </c>
      <c r="J35" s="33">
        <f ca="1">1887.3*OFFSET(J$112,MATCH($N$1,$C$112:$C$113,0)-1,0)</f>
        <v>1887.3</v>
      </c>
      <c r="K35" s="33">
        <f ca="1">1807.5*OFFSET(K$112,MATCH($N$1,$C$112:$C$113,0)-1,0)</f>
        <v>1807.5</v>
      </c>
      <c r="L35" s="33">
        <f ca="1">1912.6*OFFSET(L$112,MATCH($N$1,$C$112:$C$113,0)-1,0)</f>
        <v>1912.6</v>
      </c>
      <c r="M35" s="33">
        <f ca="1">1368.8*OFFSET(M$112,MATCH($N$1,$C$112:$C$113,0)-1,0)</f>
        <v>1368.8</v>
      </c>
      <c r="N35" s="33">
        <v>1135.9000000000001</v>
      </c>
      <c r="O35" s="29">
        <f t="shared" ca="1" si="0"/>
        <v>4.2971260673951142E-2</v>
      </c>
      <c r="P35" s="29">
        <f t="shared" ca="1" si="1"/>
        <v>-0.39813490171143956</v>
      </c>
    </row>
    <row r="36" spans="1:16" ht="18" customHeight="1" x14ac:dyDescent="0.2">
      <c r="A36" s="199"/>
      <c r="B36" s="42" t="s">
        <v>78</v>
      </c>
      <c r="C36" s="43"/>
      <c r="D36" s="43">
        <f ca="1">397.2*OFFSET(D$112,MATCH($N$1,$C$112:$C$113,0)-1,0)</f>
        <v>397.2</v>
      </c>
      <c r="E36" s="43">
        <f ca="1">395.1*OFFSET(E$112,MATCH($N$1,$C$112:$C$113,0)-1,0)</f>
        <v>395.1</v>
      </c>
      <c r="F36" s="43">
        <f ca="1">603.5*OFFSET(F$112,MATCH($N$1,$C$112:$C$113,0)-1,0)</f>
        <v>603.5</v>
      </c>
      <c r="G36" s="43">
        <f ca="1">628.6*OFFSET(G$112,MATCH($N$1,$C$112:$C$113,0)-1,0)</f>
        <v>628.6</v>
      </c>
      <c r="H36" s="43">
        <f ca="1">501.5*OFFSET(H$112,MATCH($N$1,$C$112:$C$113,0)-1,0)</f>
        <v>501.5</v>
      </c>
      <c r="I36" s="43">
        <f ca="1">973.9*OFFSET(I$112,MATCH($N$1,$C$112:$C$113,0)-1,0)</f>
        <v>973.9</v>
      </c>
      <c r="J36" s="43">
        <f ca="1">991.4*OFFSET(J$112,MATCH($N$1,$C$112:$C$113,0)-1,0)</f>
        <v>991.4</v>
      </c>
      <c r="K36" s="43">
        <f ca="1">885.3*OFFSET(K$112,MATCH($N$1,$C$112:$C$113,0)-1,0)</f>
        <v>885.3</v>
      </c>
      <c r="L36" s="43">
        <f ca="1">932.4*OFFSET(L$112,MATCH($N$1,$C$112:$C$113,0)-1,0)</f>
        <v>932.4</v>
      </c>
      <c r="M36" s="43">
        <f ca="1">749.7*OFFSET(M$112,MATCH($N$1,$C$112:$C$113,0)-1,0)</f>
        <v>749.7</v>
      </c>
      <c r="N36" s="43">
        <v>527.4</v>
      </c>
      <c r="O36" s="29">
        <f t="shared" ca="1" si="0"/>
        <v>0.32779456193353473</v>
      </c>
      <c r="P36" s="29">
        <f t="shared" ca="1" si="1"/>
        <v>-0.46802501513011902</v>
      </c>
    </row>
    <row r="37" spans="1:16" ht="18" customHeight="1" x14ac:dyDescent="0.2">
      <c r="A37" s="199"/>
      <c r="B37" s="42" t="s">
        <v>79</v>
      </c>
      <c r="C37" s="43"/>
      <c r="D37" s="43">
        <f ca="1">123.5*OFFSET(D$112,MATCH($N$1,$C$112:$C$113,0)-1,0)</f>
        <v>123.5</v>
      </c>
      <c r="E37" s="43">
        <f ca="1">117.2*OFFSET(E$112,MATCH($N$1,$C$112:$C$113,0)-1,0)</f>
        <v>117.2</v>
      </c>
      <c r="F37" s="43">
        <f ca="1">294.5*OFFSET(F$112,MATCH($N$1,$C$112:$C$113,0)-1,0)</f>
        <v>294.5</v>
      </c>
      <c r="G37" s="43">
        <f ca="1">325.9*OFFSET(G$112,MATCH($N$1,$C$112:$C$113,0)-1,0)</f>
        <v>325.89999999999998</v>
      </c>
      <c r="H37" s="43">
        <f ca="1">140.7*OFFSET(H$112,MATCH($N$1,$C$112:$C$113,0)-1,0)</f>
        <v>140.69999999999999</v>
      </c>
      <c r="I37" s="43">
        <f ca="1">454.6*OFFSET(I$112,MATCH($N$1,$C$112:$C$113,0)-1,0)</f>
        <v>454.6</v>
      </c>
      <c r="J37" s="43">
        <f ca="1">387.8*OFFSET(J$112,MATCH($N$1,$C$112:$C$113,0)-1,0)</f>
        <v>387.8</v>
      </c>
      <c r="K37" s="43">
        <f ca="1">292.9*OFFSET(K$112,MATCH($N$1,$C$112:$C$113,0)-1,0)</f>
        <v>292.89999999999998</v>
      </c>
      <c r="L37" s="43">
        <f ca="1">274.8*OFFSET(L$112,MATCH($N$1,$C$112:$C$113,0)-1,0)</f>
        <v>274.8</v>
      </c>
      <c r="M37" s="43">
        <f ca="1">265.9*OFFSET(M$112,MATCH($N$1,$C$112:$C$113,0)-1,0)</f>
        <v>265.89999999999998</v>
      </c>
      <c r="N37" s="43">
        <v>157.20000000000002</v>
      </c>
      <c r="O37" s="29">
        <f t="shared" ca="1" si="0"/>
        <v>0.27287449392712565</v>
      </c>
      <c r="P37" s="29">
        <f t="shared" ca="1" si="1"/>
        <v>-0.594636410520887</v>
      </c>
    </row>
    <row r="38" spans="1:16" ht="18" customHeight="1" x14ac:dyDescent="0.2">
      <c r="A38" s="199"/>
      <c r="B38" s="37" t="s">
        <v>80</v>
      </c>
      <c r="C38" s="33"/>
      <c r="D38" s="33">
        <f ca="1">46.2*OFFSET(D$112,MATCH($N$1,$C$112:$C$113,0)-1,0)</f>
        <v>46.2</v>
      </c>
      <c r="E38" s="33">
        <f ca="1">51.4*OFFSET(E$112,MATCH($N$1,$C$112:$C$113,0)-1,0)</f>
        <v>51.4</v>
      </c>
      <c r="F38" s="33">
        <f ca="1">68.1*OFFSET(F$112,MATCH($N$1,$C$112:$C$113,0)-1,0)</f>
        <v>68.099999999999994</v>
      </c>
      <c r="G38" s="33">
        <f ca="1">49.3*OFFSET(G$112,MATCH($N$1,$C$112:$C$113,0)-1,0)</f>
        <v>49.3</v>
      </c>
      <c r="H38" s="33">
        <f ca="1">96.3*OFFSET(H$112,MATCH($N$1,$C$112:$C$113,0)-1,0)</f>
        <v>96.3</v>
      </c>
      <c r="I38" s="33">
        <f ca="1">106*OFFSET(I$112,MATCH($N$1,$C$112:$C$113,0)-1,0)</f>
        <v>106</v>
      </c>
      <c r="J38" s="33">
        <f ca="1">93.4*OFFSET(J$112,MATCH($N$1,$C$112:$C$113,0)-1,0)</f>
        <v>93.4</v>
      </c>
      <c r="K38" s="33">
        <f ca="1">90.1*OFFSET(K$112,MATCH($N$1,$C$112:$C$113,0)-1,0)</f>
        <v>90.1</v>
      </c>
      <c r="L38" s="33">
        <f ca="1">87.8*OFFSET(L$112,MATCH($N$1,$C$112:$C$113,0)-1,0)</f>
        <v>87.8</v>
      </c>
      <c r="M38" s="33">
        <f ca="1">92*OFFSET(M$112,MATCH($N$1,$C$112:$C$113,0)-1,0)</f>
        <v>92</v>
      </c>
      <c r="N38" s="33"/>
      <c r="O38" s="29" t="str">
        <f t="shared" si="0"/>
        <v/>
      </c>
      <c r="P38" s="29" t="str">
        <f t="shared" si="1"/>
        <v/>
      </c>
    </row>
    <row r="39" spans="1:16" ht="18" customHeight="1" x14ac:dyDescent="0.2">
      <c r="A39" s="199"/>
      <c r="B39" s="37" t="s">
        <v>81</v>
      </c>
      <c r="C39" s="33"/>
      <c r="D39" s="33">
        <f ca="1">13.1*OFFSET(D$112,MATCH($N$1,$C$112:$C$113,0)-1,0)</f>
        <v>13.1</v>
      </c>
      <c r="E39" s="33">
        <f ca="1">17.4*OFFSET(E$112,MATCH($N$1,$C$112:$C$113,0)-1,0)</f>
        <v>17.399999999999999</v>
      </c>
      <c r="F39" s="33">
        <f ca="1">15.4*OFFSET(F$112,MATCH($N$1,$C$112:$C$113,0)-1,0)</f>
        <v>15.4</v>
      </c>
      <c r="G39" s="33">
        <f ca="1">2.6*OFFSET(G$112,MATCH($N$1,$C$112:$C$113,0)-1,0)</f>
        <v>2.6</v>
      </c>
      <c r="H39" s="33">
        <f ca="1">3.1*OFFSET(H$112,MATCH($N$1,$C$112:$C$113,0)-1,0)</f>
        <v>3.1</v>
      </c>
      <c r="I39" s="33">
        <f ca="1">2.9*OFFSET(I$112,MATCH($N$1,$C$112:$C$113,0)-1,0)</f>
        <v>2.9</v>
      </c>
      <c r="J39" s="33">
        <f ca="1">3.5*OFFSET(J$112,MATCH($N$1,$C$112:$C$113,0)-1,0)</f>
        <v>3.5</v>
      </c>
      <c r="K39" s="33">
        <f ca="1">3.5*OFFSET(K$112,MATCH($N$1,$C$112:$C$113,0)-1,0)</f>
        <v>3.5</v>
      </c>
      <c r="L39" s="33">
        <f ca="1">3.3*OFFSET(L$112,MATCH($N$1,$C$112:$C$113,0)-1,0)</f>
        <v>3.3</v>
      </c>
      <c r="M39" s="33">
        <f ca="1">4.6*OFFSET(M$112,MATCH($N$1,$C$112:$C$113,0)-1,0)</f>
        <v>4.5999999999999996</v>
      </c>
      <c r="N39" s="33"/>
      <c r="O39" s="29" t="str">
        <f t="shared" si="0"/>
        <v/>
      </c>
      <c r="P39" s="29" t="str">
        <f t="shared" si="1"/>
        <v/>
      </c>
    </row>
    <row r="40" spans="1:16" ht="18" customHeight="1" x14ac:dyDescent="0.2">
      <c r="A40" s="199"/>
      <c r="B40" s="37" t="s">
        <v>82</v>
      </c>
      <c r="C40" s="33"/>
      <c r="D40" s="33">
        <f ca="1">1.9*OFFSET(D$112,MATCH($N$1,$C$112:$C$113,0)-1,0)</f>
        <v>1.9</v>
      </c>
      <c r="E40" s="33">
        <f ca="1">2.3*OFFSET(E$112,MATCH($N$1,$C$112:$C$113,0)-1,0)</f>
        <v>2.2999999999999998</v>
      </c>
      <c r="F40" s="33">
        <f ca="1">8*OFFSET(F$112,MATCH($N$1,$C$112:$C$113,0)-1,0)</f>
        <v>8</v>
      </c>
      <c r="G40" s="33">
        <f ca="1">0.8*OFFSET(G$112,MATCH($N$1,$C$112:$C$113,0)-1,0)</f>
        <v>0.8</v>
      </c>
      <c r="H40" s="33">
        <f ca="1">1.2*OFFSET(H$112,MATCH($N$1,$C$112:$C$113,0)-1,0)</f>
        <v>1.2</v>
      </c>
      <c r="I40" s="33">
        <f ca="1">1.4*OFFSET(I$112,MATCH($N$1,$C$112:$C$113,0)-1,0)</f>
        <v>1.4</v>
      </c>
      <c r="J40" s="33">
        <f ca="1">0.6*OFFSET(J$112,MATCH($N$1,$C$112:$C$113,0)-1,0)</f>
        <v>0.6</v>
      </c>
      <c r="K40" s="33">
        <f ca="1">3.2*OFFSET(K$112,MATCH($N$1,$C$112:$C$113,0)-1,0)</f>
        <v>3.2</v>
      </c>
      <c r="L40" s="33">
        <f ca="1">3.3*OFFSET(L$112,MATCH($N$1,$C$112:$C$113,0)-1,0)</f>
        <v>3.3</v>
      </c>
      <c r="M40" s="33">
        <f ca="1">4.1*OFFSET(M$112,MATCH($N$1,$C$112:$C$113,0)-1,0)</f>
        <v>4.0999999999999996</v>
      </c>
      <c r="N40" s="33"/>
      <c r="O40" s="29" t="str">
        <f t="shared" si="0"/>
        <v/>
      </c>
      <c r="P40" s="29" t="str">
        <f t="shared" si="1"/>
        <v/>
      </c>
    </row>
    <row r="41" spans="1:16" ht="18" customHeight="1" thickBot="1" x14ac:dyDescent="0.25">
      <c r="A41" s="200"/>
      <c r="B41" s="44" t="s">
        <v>83</v>
      </c>
      <c r="C41" s="45"/>
      <c r="D41" s="45">
        <f ca="1">62.2*OFFSET(D$112,MATCH($N$1,$C$112:$C$113,0)-1,0)</f>
        <v>62.2</v>
      </c>
      <c r="E41" s="45">
        <f ca="1">46.1*OFFSET(E$112,MATCH($N$1,$C$112:$C$113,0)-1,0)</f>
        <v>46.1</v>
      </c>
      <c r="F41" s="45">
        <f ca="1">203*OFFSET(F$112,MATCH($N$1,$C$112:$C$113,0)-1,0)</f>
        <v>203</v>
      </c>
      <c r="G41" s="45">
        <f ca="1">273.2*OFFSET(G$112,MATCH($N$1,$C$112:$C$113,0)-1,0)</f>
        <v>273.2</v>
      </c>
      <c r="H41" s="45">
        <f ca="1">40.1*OFFSET(H$112,MATCH($N$1,$C$112:$C$113,0)-1,0)</f>
        <v>40.1</v>
      </c>
      <c r="I41" s="45">
        <f ca="1">344.3*OFFSET(I$112,MATCH($N$1,$C$112:$C$113,0)-1,0)</f>
        <v>344.3</v>
      </c>
      <c r="J41" s="45">
        <f ca="1">290.2*OFFSET(J$112,MATCH($N$1,$C$112:$C$113,0)-1,0)</f>
        <v>290.2</v>
      </c>
      <c r="K41" s="45">
        <f ca="1">196.2*OFFSET(K$112,MATCH($N$1,$C$112:$C$113,0)-1,0)</f>
        <v>196.2</v>
      </c>
      <c r="L41" s="45">
        <f ca="1">180.4*OFFSET(L$112,MATCH($N$1,$C$112:$C$113,0)-1,0)</f>
        <v>180.4</v>
      </c>
      <c r="M41" s="45">
        <f ca="1">164.4*OFFSET(M$112,MATCH($N$1,$C$112:$C$113,0)-1,0)</f>
        <v>164.4</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22</v>
      </c>
      <c r="F46" s="94" t="s">
        <v>130</v>
      </c>
      <c r="G46" s="94" t="s">
        <v>149</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NSWOS demersal pair trawl seine</v>
      </c>
      <c r="C48" s="96"/>
      <c r="D48" s="96"/>
      <c r="E48" s="96"/>
      <c r="F48" s="96"/>
      <c r="G48" s="96"/>
      <c r="K48" s="96" t="str">
        <f>$B24&amp;CHAR(10)&amp;$A$1</f>
        <v>Operating profit per kW day at sea (£)
NSWOS demersal pair trawl seine</v>
      </c>
    </row>
    <row r="49" spans="1:11" s="82" customFormat="1" x14ac:dyDescent="0.2">
      <c r="A49" s="96" t="str">
        <f>$B22&amp;CHAR(10)&amp;$A$1</f>
        <v>Fishing income per kW day at sea (£)
NSWOS demersal pair trawl seine</v>
      </c>
    </row>
    <row r="50" spans="1:11" s="82" customFormat="1" x14ac:dyDescent="0.2">
      <c r="A50" s="96" t="str">
        <f>$B20&amp;CHAR(10)&amp;$A$1</f>
        <v>Average price per tonne landed (£)
NSWOS demersal pair trawl seine</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NSWOS demersal pair trawl seine</v>
      </c>
      <c r="F62" s="96" t="str">
        <f>$B20&amp;CHAR(10)&amp;$A$1</f>
        <v>Average price per tonne landed (£)
NSWOS demersal pair trawl seine</v>
      </c>
      <c r="K62" s="96" t="str">
        <f>"Average annual operating profit per vessel (£'000)"&amp;CHAR(10)&amp;$A$1</f>
        <v>Average annual operating profit per vessel (£'000)
NSWOS demersal pair trawl seine</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NSWOS demersal pair trawl seine</v>
      </c>
      <c r="F76" s="96" t="str">
        <f>"Top 5 landed species by value in "&amp;A77&amp;CHAR(10)&amp;A1</f>
        <v>Top 5 landed species by value in 2020
NSWOS demersal pair trawl seine</v>
      </c>
    </row>
    <row r="77" spans="1:11" s="96" customFormat="1" x14ac:dyDescent="0.2">
      <c r="A77" s="96">
        <v>2020</v>
      </c>
      <c r="B77" s="96" t="s">
        <v>330</v>
      </c>
      <c r="C77" s="97">
        <v>0.37814689023581693</v>
      </c>
      <c r="D77" s="98">
        <v>12153634</v>
      </c>
      <c r="G77" s="96" t="s">
        <v>331</v>
      </c>
      <c r="H77" s="97">
        <v>0.3253529253693983</v>
      </c>
      <c r="I77" s="98">
        <v>12153634</v>
      </c>
      <c r="K77" s="96" t="s">
        <v>87</v>
      </c>
    </row>
    <row r="78" spans="1:11" s="96" customFormat="1" x14ac:dyDescent="0.2">
      <c r="B78" s="96" t="s">
        <v>332</v>
      </c>
      <c r="C78" s="97">
        <v>0.16738958847301463</v>
      </c>
      <c r="D78" s="98">
        <v>3689192</v>
      </c>
      <c r="G78" s="96" t="s">
        <v>333</v>
      </c>
      <c r="H78" s="97">
        <v>0.22835233087190512</v>
      </c>
      <c r="I78" s="98">
        <v>553960</v>
      </c>
    </row>
    <row r="79" spans="1:11" s="96" customFormat="1" x14ac:dyDescent="0.2">
      <c r="B79" s="96" t="s">
        <v>334</v>
      </c>
      <c r="C79" s="97">
        <v>0.15752129028783046</v>
      </c>
      <c r="D79" s="98">
        <v>3050596</v>
      </c>
      <c r="G79" s="96" t="s">
        <v>335</v>
      </c>
      <c r="H79" s="97">
        <v>0.12140537228795029</v>
      </c>
      <c r="I79" s="98">
        <v>3050596</v>
      </c>
    </row>
    <row r="80" spans="1:11" s="96" customFormat="1" x14ac:dyDescent="0.2">
      <c r="B80" s="96" t="s">
        <v>336</v>
      </c>
      <c r="C80" s="97">
        <v>0.12925003135268279</v>
      </c>
      <c r="D80" s="98">
        <v>553960</v>
      </c>
      <c r="G80" s="96" t="s">
        <v>337</v>
      </c>
      <c r="H80" s="97">
        <v>0.1117829564194686</v>
      </c>
      <c r="I80" s="98">
        <v>1692097</v>
      </c>
    </row>
    <row r="81" spans="1:19" s="96" customFormat="1" x14ac:dyDescent="0.2">
      <c r="B81" s="96" t="s">
        <v>88</v>
      </c>
      <c r="C81" s="97">
        <v>8.9591685334568905E-2</v>
      </c>
      <c r="D81" s="98">
        <v>1692097</v>
      </c>
      <c r="G81" s="96" t="s">
        <v>338</v>
      </c>
      <c r="H81" s="97">
        <v>0.10651307204278909</v>
      </c>
      <c r="I81" s="98">
        <v>3689192</v>
      </c>
    </row>
    <row r="82" spans="1:19" s="96" customFormat="1" x14ac:dyDescent="0.2">
      <c r="B82" s="96" t="s">
        <v>339</v>
      </c>
      <c r="C82" s="97">
        <v>7.8100514316086223E-2</v>
      </c>
      <c r="D82" s="98">
        <v>5920853</v>
      </c>
      <c r="G82" s="96" t="s">
        <v>340</v>
      </c>
      <c r="H82" s="97">
        <v>0.10659334300848866</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20</v>
      </c>
      <c r="D92" s="102">
        <v>0.35239735739472361</v>
      </c>
      <c r="E92" s="102">
        <v>0.43569989956170779</v>
      </c>
      <c r="F92" s="102">
        <v>0.45572136728729962</v>
      </c>
      <c r="G92" s="102">
        <v>0.39313096614794296</v>
      </c>
      <c r="H92" s="102">
        <v>0.31525322249881704</v>
      </c>
      <c r="I92" s="102">
        <v>0.31165261645158288</v>
      </c>
      <c r="J92" s="102">
        <v>0.26997341836128275</v>
      </c>
      <c r="K92" s="102">
        <v>0.28056569032451667</v>
      </c>
      <c r="L92" s="102">
        <v>0.3253529253693983</v>
      </c>
      <c r="M92" s="102">
        <v>0.2945343239254592</v>
      </c>
      <c r="O92" s="96">
        <v>12153634</v>
      </c>
    </row>
    <row r="93" spans="1:19" s="96" customFormat="1" hidden="1" x14ac:dyDescent="0.2">
      <c r="B93" s="96">
        <v>2</v>
      </c>
      <c r="C93" s="96" t="s">
        <v>98</v>
      </c>
      <c r="D93" s="102">
        <v>0.272732262837241</v>
      </c>
      <c r="E93" s="102">
        <v>0.24821049059428049</v>
      </c>
      <c r="F93" s="102">
        <v>0.25206868056234105</v>
      </c>
      <c r="G93" s="102">
        <v>0.27458945988326627</v>
      </c>
      <c r="H93" s="102">
        <v>0.30305407697875503</v>
      </c>
      <c r="I93" s="102">
        <v>0.30344021761794321</v>
      </c>
      <c r="J93" s="102">
        <v>0.29539099634776611</v>
      </c>
      <c r="K93" s="102">
        <v>0.25100644174834608</v>
      </c>
      <c r="L93" s="102">
        <v>0.22835233087190512</v>
      </c>
      <c r="M93" s="102">
        <v>0.25904665623273421</v>
      </c>
      <c r="O93" s="96">
        <v>553960</v>
      </c>
    </row>
    <row r="94" spans="1:19" s="96" customFormat="1" hidden="1" x14ac:dyDescent="0.2">
      <c r="B94" s="96">
        <v>3</v>
      </c>
      <c r="C94" s="96" t="s">
        <v>126</v>
      </c>
      <c r="D94" s="102">
        <v>0.10502281906001214</v>
      </c>
      <c r="E94" s="102">
        <v>0.10149966814764605</v>
      </c>
      <c r="F94" s="102">
        <v>8.3691051558998947E-2</v>
      </c>
      <c r="G94" s="102">
        <v>8.2947646164777192E-2</v>
      </c>
      <c r="H94" s="102">
        <v>7.1452072226729751E-2</v>
      </c>
      <c r="I94" s="102">
        <v>7.4098710179027971E-2</v>
      </c>
      <c r="J94" s="102">
        <v>8.7831940893330671E-2</v>
      </c>
      <c r="K94" s="102">
        <v>0.1104232485459099</v>
      </c>
      <c r="L94" s="102">
        <v>0.12140537228795029</v>
      </c>
      <c r="M94" s="102">
        <v>0.17441946821694745</v>
      </c>
      <c r="O94" s="96">
        <v>3050596</v>
      </c>
    </row>
    <row r="95" spans="1:19" s="96" customFormat="1" hidden="1" x14ac:dyDescent="0.2">
      <c r="B95" s="96">
        <v>4</v>
      </c>
      <c r="C95" s="96" t="s">
        <v>99</v>
      </c>
      <c r="D95" s="102">
        <v>0.10323048257790415</v>
      </c>
      <c r="E95" s="102">
        <v>6.5939526086595812E-2</v>
      </c>
      <c r="F95" s="102">
        <v>7.5130450908800009E-2</v>
      </c>
      <c r="G95" s="102">
        <v>8.6951573196641152E-2</v>
      </c>
      <c r="H95" s="102">
        <v>0.11397079997032863</v>
      </c>
      <c r="I95" s="102">
        <v>0.13633657683190104</v>
      </c>
      <c r="J95" s="102">
        <v>0.13665158339448044</v>
      </c>
      <c r="K95" s="102">
        <v>0.13978991082757575</v>
      </c>
      <c r="L95" s="102">
        <v>0.1117829564194686</v>
      </c>
      <c r="M95" s="102">
        <v>8.3245841760980099E-2</v>
      </c>
      <c r="O95" s="96">
        <v>1692097</v>
      </c>
    </row>
    <row r="96" spans="1:19" s="96" customFormat="1" hidden="1" x14ac:dyDescent="0.2">
      <c r="B96" s="96">
        <v>5</v>
      </c>
      <c r="C96" s="96" t="s">
        <v>265</v>
      </c>
      <c r="D96" s="102">
        <v>8.346386482172731E-2</v>
      </c>
      <c r="E96" s="102">
        <v>7.9000062001669855E-2</v>
      </c>
      <c r="F96" s="102">
        <v>7.4743093822931927E-2</v>
      </c>
      <c r="G96" s="102">
        <v>7.8761213691446952E-2</v>
      </c>
      <c r="H96" s="102">
        <v>7.8732786348224768E-2</v>
      </c>
      <c r="I96" s="102">
        <v>6.0383455791543569E-2</v>
      </c>
      <c r="J96" s="102">
        <v>8.3616553680395903E-2</v>
      </c>
      <c r="K96" s="102">
        <v>0.1078691922029922</v>
      </c>
      <c r="L96" s="102">
        <v>0.10651307204278909</v>
      </c>
      <c r="M96" s="102">
        <v>9.9357965952689184E-2</v>
      </c>
      <c r="O96" s="96">
        <v>3689192</v>
      </c>
    </row>
    <row r="97" spans="1:15" s="96" customFormat="1" hidden="1" x14ac:dyDescent="0.2">
      <c r="B97" s="96">
        <v>6</v>
      </c>
      <c r="C97" s="96" t="s">
        <v>107</v>
      </c>
      <c r="D97" s="102">
        <v>8.315321330839176E-2</v>
      </c>
      <c r="E97" s="102">
        <v>6.9650353608100027E-2</v>
      </c>
      <c r="F97" s="102">
        <v>5.8645355859628427E-2</v>
      </c>
      <c r="G97" s="102">
        <v>8.3619140915925441E-2</v>
      </c>
      <c r="H97" s="102">
        <v>0.11753704197714476</v>
      </c>
      <c r="I97" s="102">
        <v>0.11408842312800131</v>
      </c>
      <c r="J97" s="102">
        <v>0.1265355073227441</v>
      </c>
      <c r="K97" s="102">
        <v>0.11034551635065941</v>
      </c>
      <c r="L97" s="102">
        <v>0.10659334300848862</v>
      </c>
      <c r="M97" s="102">
        <v>8.9395743911189873E-2</v>
      </c>
      <c r="O97" s="96">
        <v>5920853</v>
      </c>
    </row>
    <row r="98" spans="1:15" s="96" customFormat="1" hidden="1" x14ac:dyDescent="0.2">
      <c r="B98" s="96">
        <v>7</v>
      </c>
      <c r="D98" s="102"/>
      <c r="E98" s="102"/>
      <c r="F98" s="102"/>
      <c r="G98" s="102"/>
      <c r="H98" s="102"/>
      <c r="I98" s="102"/>
      <c r="J98" s="102"/>
      <c r="K98" s="102"/>
      <c r="L98" s="102"/>
      <c r="M98" s="102"/>
      <c r="O98" s="96">
        <v>2480382</v>
      </c>
    </row>
    <row r="99" spans="1:15" s="96" customFormat="1" hidden="1" x14ac:dyDescent="0.2">
      <c r="B99" s="96">
        <v>8</v>
      </c>
      <c r="D99" s="102"/>
      <c r="E99" s="102"/>
      <c r="F99" s="102"/>
      <c r="G99" s="102"/>
      <c r="H99" s="102"/>
      <c r="I99" s="102"/>
      <c r="J99" s="102"/>
      <c r="K99" s="102"/>
      <c r="L99" s="102"/>
      <c r="M99" s="102"/>
      <c r="O99" s="96">
        <v>7434864</v>
      </c>
    </row>
    <row r="100" spans="1:15" s="96" customFormat="1" hidden="1" x14ac:dyDescent="0.2">
      <c r="B100" s="96">
        <v>9</v>
      </c>
      <c r="D100" s="102"/>
      <c r="E100" s="102"/>
      <c r="F100" s="102"/>
      <c r="G100" s="102"/>
      <c r="H100" s="102"/>
      <c r="I100" s="102"/>
      <c r="J100" s="102"/>
      <c r="K100" s="102"/>
      <c r="L100" s="102"/>
      <c r="M100" s="102"/>
      <c r="O100" s="96">
        <v>8497745</v>
      </c>
    </row>
    <row r="101" spans="1:15" s="96" customFormat="1" hidden="1" x14ac:dyDescent="0.2">
      <c r="B101" s="96">
        <v>10</v>
      </c>
      <c r="D101" s="102"/>
      <c r="E101" s="102"/>
      <c r="F101" s="102"/>
      <c r="G101" s="102"/>
      <c r="H101" s="102"/>
      <c r="I101" s="102"/>
      <c r="J101" s="102"/>
      <c r="K101" s="102"/>
      <c r="L101" s="102"/>
      <c r="M101" s="102"/>
      <c r="O101" s="96">
        <v>14393110</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7</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6</v>
      </c>
      <c r="D120" s="56">
        <v>11</v>
      </c>
      <c r="E120" s="56">
        <v>6</v>
      </c>
      <c r="F120" s="57">
        <v>27</v>
      </c>
    </row>
    <row r="121" spans="1:15" ht="18" customHeight="1" x14ac:dyDescent="0.2">
      <c r="A121" s="194" t="s">
        <v>27</v>
      </c>
      <c r="B121" s="35" t="s">
        <v>62</v>
      </c>
      <c r="C121" s="58">
        <v>26.639999389648438</v>
      </c>
      <c r="D121" s="58">
        <v>25.599091443148527</v>
      </c>
      <c r="E121" s="58">
        <v>26.196666717529297</v>
      </c>
      <c r="F121" s="59">
        <v>26.001482009887695</v>
      </c>
    </row>
    <row r="122" spans="1:15" ht="18" customHeight="1" x14ac:dyDescent="0.2">
      <c r="A122" s="195"/>
      <c r="B122" s="37" t="s">
        <v>55</v>
      </c>
      <c r="C122" s="60">
        <v>517.83331298828125</v>
      </c>
      <c r="D122" s="60">
        <v>513.81819568980825</v>
      </c>
      <c r="E122" s="60">
        <v>561.16668701171875</v>
      </c>
      <c r="F122" s="61">
        <v>527</v>
      </c>
    </row>
    <row r="123" spans="1:15" ht="18" customHeight="1" x14ac:dyDescent="0.2">
      <c r="A123" s="195"/>
      <c r="B123" s="37" t="s">
        <v>56</v>
      </c>
      <c r="C123" s="60">
        <v>296.66665649414063</v>
      </c>
      <c r="D123" s="60">
        <v>229.00000277432528</v>
      </c>
      <c r="E123" s="60">
        <v>226.83332824707031</v>
      </c>
      <c r="F123" s="61">
        <v>243.11111450195313</v>
      </c>
    </row>
    <row r="124" spans="1:15" ht="18" customHeight="1" x14ac:dyDescent="0.2">
      <c r="A124" s="195"/>
      <c r="B124" s="37" t="s">
        <v>57</v>
      </c>
      <c r="C124" s="60">
        <v>442.17526245117188</v>
      </c>
      <c r="D124" s="60">
        <v>424.28425181995738</v>
      </c>
      <c r="E124" s="60">
        <v>445.77859497070313</v>
      </c>
      <c r="F124" s="61">
        <v>433.71432495117188</v>
      </c>
    </row>
    <row r="125" spans="1:15" ht="18" customHeight="1" x14ac:dyDescent="0.2">
      <c r="A125" s="195"/>
      <c r="B125" s="37" t="s">
        <v>58</v>
      </c>
      <c r="C125" s="33">
        <v>1699.77978515625</v>
      </c>
      <c r="D125" s="33">
        <v>1021.0031849254261</v>
      </c>
      <c r="E125" s="33">
        <v>763.793701171875</v>
      </c>
      <c r="F125" s="62">
        <v>985.76556396484375</v>
      </c>
    </row>
    <row r="126" spans="1:15" ht="18" customHeight="1" x14ac:dyDescent="0.2">
      <c r="A126" s="195"/>
      <c r="B126" s="37" t="s">
        <v>63</v>
      </c>
      <c r="C126" s="33">
        <f ca="1">3501.081*OFFSET($L$112,MATCH($N$1,$C$112:$C$113,0)-1,0)</f>
        <v>3501.0810000000001</v>
      </c>
      <c r="D126" s="33">
        <f ca="1">1860.26320454545*OFFSET($L$112,MATCH($N$1,$C$112:$C$113,0)-1,0)</f>
        <v>1860.26320454545</v>
      </c>
      <c r="E126" s="33">
        <f ca="1">1448.129125*OFFSET($L$112,MATCH($N$1,$C$112:$C$113,0)-1,0)</f>
        <v>1448.1291249999999</v>
      </c>
      <c r="F126" s="62">
        <f ca="1">1611.113*OFFSET($L$112,MATCH($N$1,$C$112:$C$113,0)-1,0)</f>
        <v>1611.1130000000001</v>
      </c>
    </row>
    <row r="127" spans="1:15" ht="18" customHeight="1" x14ac:dyDescent="0.2">
      <c r="A127" s="195"/>
      <c r="B127" s="37" t="s">
        <v>60</v>
      </c>
      <c r="C127" s="60">
        <v>292.16665649414063</v>
      </c>
      <c r="D127" s="60">
        <v>213.63635947487572</v>
      </c>
      <c r="E127" s="60">
        <v>196.16667175292969</v>
      </c>
      <c r="F127" s="61">
        <v>200.44444274902344</v>
      </c>
    </row>
    <row r="128" spans="1:15" ht="18" customHeight="1" x14ac:dyDescent="0.2">
      <c r="A128" s="195"/>
      <c r="B128" s="37" t="s">
        <v>64</v>
      </c>
      <c r="C128" s="60">
        <v>10.833333015441895</v>
      </c>
      <c r="D128" s="60">
        <v>28.272727272727273</v>
      </c>
      <c r="E128" s="60">
        <v>32</v>
      </c>
      <c r="F128" s="61">
        <v>26.074073791503906</v>
      </c>
    </row>
    <row r="129" spans="1:15" ht="18" customHeight="1" x14ac:dyDescent="0.2">
      <c r="A129" s="195"/>
      <c r="B129" s="37" t="s">
        <v>65</v>
      </c>
      <c r="C129" s="63">
        <v>5.817842960357666</v>
      </c>
      <c r="D129" s="63">
        <v>4.7791639374265742</v>
      </c>
      <c r="E129" s="63">
        <v>3.8935956954956055</v>
      </c>
      <c r="F129" s="64">
        <v>4.9178991317749023</v>
      </c>
    </row>
    <row r="130" spans="1:15" ht="18" customHeight="1" x14ac:dyDescent="0.2">
      <c r="A130" s="196"/>
      <c r="B130" s="39" t="s">
        <v>28</v>
      </c>
      <c r="C130" s="40">
        <f ca="1">2059.72622487575*OFFSET($L$112,MATCH($N$1,$C$112:$C$113,0)-1,0)</f>
        <v>2059.7262248757502</v>
      </c>
      <c r="D130" s="40">
        <f ca="1">1821.99549620536*OFFSET($L$112,MATCH($N$1,$C$112:$C$113,0)-1,0)</f>
        <v>1821.99549620536</v>
      </c>
      <c r="E130" s="40">
        <f ca="1">1895.96892823044*OFFSET($L$112,MATCH($N$1,$C$112:$C$113,0)-1,0)</f>
        <v>1895.96892823044</v>
      </c>
      <c r="F130" s="65">
        <f ca="1">1634*OFFSET($L$112,MATCH($N$1,$C$112:$C$113,0)-1,0)</f>
        <v>1634</v>
      </c>
    </row>
    <row r="131" spans="1:15" ht="18" customHeight="1" x14ac:dyDescent="0.2">
      <c r="A131" s="205" t="s">
        <v>29</v>
      </c>
      <c r="B131" s="35" t="s">
        <v>66</v>
      </c>
      <c r="C131" s="66">
        <v>11.263259080755502</v>
      </c>
      <c r="D131" s="66">
        <v>9.1598918809729035</v>
      </c>
      <c r="E131" s="66">
        <v>6.9806294866596277</v>
      </c>
      <c r="F131" s="67">
        <v>9.2658685066931881</v>
      </c>
    </row>
    <row r="132" spans="1:15" ht="18" customHeight="1" x14ac:dyDescent="0.2">
      <c r="A132" s="206"/>
      <c r="B132" s="37" t="s">
        <v>67</v>
      </c>
      <c r="C132" s="63">
        <f ca="1">23.1992301062021*OFFSET($L$112,MATCH($N$1,$C$112:$C$113,0)-1,0)</f>
        <v>23.199230106202101</v>
      </c>
      <c r="D132" s="63">
        <f ca="1">16.6892817528607*OFFSET($L$112,MATCH($N$1,$C$112:$C$113,0)-1,0)</f>
        <v>16.689281752860701</v>
      </c>
      <c r="E132" s="63">
        <f ca="1">13.2350566061959*OFFSET($L$112,MATCH($N$1,$C$112:$C$113,0)-1,0)</f>
        <v>13.235056606195901</v>
      </c>
      <c r="F132" s="64">
        <f ca="1">15.1439264599391*OFFSET($L$112,MATCH($N$1,$C$112:$C$113,0)-1,0)</f>
        <v>15.143926459939101</v>
      </c>
    </row>
    <row r="133" spans="1:15" ht="18" customHeight="1" x14ac:dyDescent="0.2">
      <c r="A133" s="206"/>
      <c r="B133" s="37" t="s">
        <v>11</v>
      </c>
      <c r="C133" s="63">
        <f ca="1">19.8228420118083*OFFSET($L$112,MATCH($N$1,$C$112:$C$113,0)-1,0)</f>
        <v>19.822842011808302</v>
      </c>
      <c r="D133" s="63">
        <f ca="1">14.6405128822047*OFFSET($L$112,MATCH($N$1,$C$112:$C$113,0)-1,0)</f>
        <v>14.6405128822047</v>
      </c>
      <c r="E133" s="63">
        <f ca="1">12.0909741897853*OFFSET($L$112,MATCH($N$1,$C$112:$C$113,0)-1,0)</f>
        <v>12.0909741897853</v>
      </c>
      <c r="F133" s="64">
        <f ca="1">12.6443184187292*OFFSET($L$112,MATCH($N$1,$C$112:$C$113,0)-1,0)</f>
        <v>12.644318418729201</v>
      </c>
    </row>
    <row r="134" spans="1:15" ht="18" customHeight="1" x14ac:dyDescent="0.2">
      <c r="A134" s="207"/>
      <c r="B134" s="39" t="s">
        <v>12</v>
      </c>
      <c r="C134" s="68">
        <f ca="1">3.37638809439378*OFFSET($L$112,MATCH($N$1,$C$112:$C$113,0)-1,0)</f>
        <v>3.3763880943937798</v>
      </c>
      <c r="D134" s="68">
        <f ca="1">2.04876887065598*OFFSET($L$112,MATCH($N$1,$C$112:$C$113,0)-1,0)</f>
        <v>2.0487688706559801</v>
      </c>
      <c r="E134" s="68">
        <f ca="1">1.14408241641057*OFFSET($L$112,MATCH($N$1,$C$112:$C$113,0)-1,0)</f>
        <v>1.1440824164105701</v>
      </c>
      <c r="F134" s="69">
        <f ca="1">2.4996080412099*OFFSET($L$112,MATCH($N$1,$C$112:$C$113,0)-1,0)</f>
        <v>2.4996080412099002</v>
      </c>
    </row>
    <row r="135" spans="1:15" ht="18" customHeight="1" x14ac:dyDescent="0.2">
      <c r="A135" s="208" t="s">
        <v>49</v>
      </c>
      <c r="B135" s="37" t="s">
        <v>109</v>
      </c>
      <c r="C135" s="70">
        <f ca="1">225.9639375*OFFSET($L$112,MATCH($N$1,$C$112:$C$113,0)-1,0)</f>
        <v>225.96393749999999</v>
      </c>
      <c r="D135" s="70">
        <f ca="1">162.438884943182*OFFSET($L$112,MATCH($N$1,$C$112:$C$113,0)-1,0)</f>
        <v>162.43888494318199</v>
      </c>
      <c r="E135" s="70">
        <f ca="1">179.0419375*OFFSET($L$112,MATCH($N$1,$C$112:$C$113,0)-1,0)</f>
        <v>179.04193749999999</v>
      </c>
      <c r="F135" s="71">
        <f ca="1">113.1747265625*OFFSET($L$112,MATCH($N$1,$C$112:$C$113,0)-1,0)</f>
        <v>113.1747265625</v>
      </c>
    </row>
    <row r="136" spans="1:15" ht="18" customHeight="1" x14ac:dyDescent="0.2">
      <c r="A136" s="209"/>
      <c r="B136" s="37" t="s">
        <v>110</v>
      </c>
      <c r="C136" s="31">
        <v>433224.98216958717</v>
      </c>
      <c r="D136" s="31">
        <v>311604.54743680748</v>
      </c>
      <c r="E136" s="31">
        <v>343291.67556762695</v>
      </c>
      <c r="F136" s="72">
        <v>308437.03703703702</v>
      </c>
    </row>
    <row r="137" spans="1:15" ht="18" customHeight="1" x14ac:dyDescent="0.2">
      <c r="A137" s="209"/>
      <c r="B137" s="37" t="s">
        <v>111</v>
      </c>
      <c r="C137" s="31">
        <v>1482.8009033203125</v>
      </c>
      <c r="D137" s="31">
        <v>1458.5745057757977</v>
      </c>
      <c r="E137" s="31">
        <v>1750</v>
      </c>
      <c r="F137" s="72">
        <v>1538.7657470703125</v>
      </c>
    </row>
    <row r="138" spans="1:15" ht="18" customHeight="1" x14ac:dyDescent="0.2">
      <c r="A138" s="209"/>
      <c r="B138" s="37" t="s">
        <v>112</v>
      </c>
      <c r="C138" s="31">
        <f ca="1">773.407685228214*OFFSET($L$112,MATCH($N$1,$C$112:$C$113,0)-1,0)</f>
        <v>773.40768522821395</v>
      </c>
      <c r="D138" s="31">
        <f ca="1">760.35224220475*OFFSET($L$112,MATCH($N$1,$C$112:$C$113,0)-1,0)</f>
        <v>760.35224220475004</v>
      </c>
      <c r="E138" s="31">
        <f ca="1">912.703141161012*OFFSET($L$112,MATCH($N$1,$C$112:$C$113,0)-1,0)</f>
        <v>912.70314116101201</v>
      </c>
      <c r="F138" s="72">
        <f ca="1">564.618928868016*OFFSET($L$112,MATCH($N$1,$C$112:$C$113,0)-1,0)</f>
        <v>564.61892886801604</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132.937183671253*OFFSET($L$112,MATCH($N$1,$C$112:$C$113,0)-1,0)</f>
        <v>132.937183671253</v>
      </c>
      <c r="D139" s="31">
        <f ca="1">159.097334211593*OFFSET($L$112,MATCH($N$1,$C$112:$C$113,0)-1,0)</f>
        <v>159.09733421159299</v>
      </c>
      <c r="E139" s="31">
        <f ca="1">234.411382583149*OFFSET($L$112,MATCH($N$1,$C$112:$C$113,0)-1,0)</f>
        <v>234.41138258314899</v>
      </c>
      <c r="F139" s="72">
        <f ca="1">114.808967466159*OFFSET($L$112,MATCH($N$1,$C$112:$C$113,0)-1,0)</f>
        <v>114.808967466159</v>
      </c>
      <c r="I139" s="48"/>
      <c r="K139" s="73" t="s">
        <v>114</v>
      </c>
      <c r="L139" s="74">
        <f t="shared" ref="L139:M141" ca="1" si="2">C140</f>
        <v>3511.7265000000002</v>
      </c>
      <c r="M139" s="74">
        <f t="shared" ca="1" si="2"/>
        <v>1865.91954545455</v>
      </c>
      <c r="N139" s="74">
        <f ca="1">E140</f>
        <v>1452.5325</v>
      </c>
      <c r="O139" s="74"/>
    </row>
    <row r="140" spans="1:15" ht="18" customHeight="1" x14ac:dyDescent="0.2">
      <c r="A140" s="187" t="s">
        <v>50</v>
      </c>
      <c r="B140" s="35" t="s">
        <v>115</v>
      </c>
      <c r="C140" s="75">
        <f ca="1">3511.7265*OFFSET($L$112,MATCH($N$1,$C$112:$C$113,0)-1,0)</f>
        <v>3511.7265000000002</v>
      </c>
      <c r="D140" s="75">
        <f ca="1">1865.91954545455*OFFSET($L$112,MATCH($N$1,$C$112:$C$113,0)-1,0)</f>
        <v>1865.91954545455</v>
      </c>
      <c r="E140" s="75">
        <f ca="1">1452.5325*OFFSET($L$112,MATCH($N$1,$C$112:$C$113,0)-1,0)</f>
        <v>1452.5325</v>
      </c>
      <c r="F140" s="76">
        <f ca="1">1634.703*OFFSET($L$112,MATCH($N$1,$C$112:$C$113,0)-1,0)</f>
        <v>1634.703</v>
      </c>
      <c r="I140" s="48"/>
      <c r="K140" s="73" t="s">
        <v>116</v>
      </c>
      <c r="L140" s="74">
        <f t="shared" ca="1" si="2"/>
        <v>3002.1835000000001</v>
      </c>
      <c r="M140" s="74">
        <f t="shared" ca="1" si="2"/>
        <v>1637.55445454545</v>
      </c>
      <c r="N140" s="74">
        <f ca="1">E141</f>
        <v>1327.351375</v>
      </c>
      <c r="O140" s="74"/>
    </row>
    <row r="141" spans="1:15" ht="18" customHeight="1" x14ac:dyDescent="0.2">
      <c r="A141" s="188"/>
      <c r="B141" s="37" t="s">
        <v>117</v>
      </c>
      <c r="C141" s="31">
        <f ca="1">3002.1835*OFFSET($L$112,MATCH($N$1,$C$112:$C$113,0)-1,0)</f>
        <v>3002.1835000000001</v>
      </c>
      <c r="D141" s="31">
        <f ca="1">1637.55445454545*OFFSET($L$112,MATCH($N$1,$C$112:$C$113,0)-1,0)</f>
        <v>1637.55445454545</v>
      </c>
      <c r="E141" s="31">
        <f ca="1">1327.351375*OFFSET($L$112,MATCH($N$1,$C$112:$C$113,0)-1,0)</f>
        <v>1327.351375</v>
      </c>
      <c r="F141" s="72">
        <f ca="1">1368.777875*OFFSET($L$112,MATCH($N$1,$C$112:$C$113,0)-1,0)</f>
        <v>1368.777875</v>
      </c>
      <c r="I141" s="48"/>
      <c r="K141" s="73" t="s">
        <v>118</v>
      </c>
      <c r="L141" s="74">
        <f t="shared" ca="1" si="2"/>
        <v>509.54300000000001</v>
      </c>
      <c r="M141" s="74">
        <f t="shared" ca="1" si="2"/>
        <v>228.36509090909101</v>
      </c>
      <c r="N141" s="74">
        <f ca="1">E142</f>
        <v>125.18112499999999</v>
      </c>
      <c r="O141" s="74"/>
    </row>
    <row r="142" spans="1:15" ht="18" customHeight="1" x14ac:dyDescent="0.2">
      <c r="A142" s="189"/>
      <c r="B142" s="39" t="s">
        <v>119</v>
      </c>
      <c r="C142" s="40">
        <f ca="1">509.543*OFFSET($L$112,MATCH($N$1,$C$112:$C$113,0)-1,0)</f>
        <v>509.54300000000001</v>
      </c>
      <c r="D142" s="40">
        <f ca="1">228.365090909091*OFFSET($L$112,MATCH($N$1,$C$112:$C$113,0)-1,0)</f>
        <v>228.36509090909101</v>
      </c>
      <c r="E142" s="40">
        <f ca="1">125.181125*OFFSET($L$112,MATCH($N$1,$C$112:$C$113,0)-1,0)</f>
        <v>125.18112499999999</v>
      </c>
      <c r="F142" s="65">
        <f ca="1">265.92515625*OFFSET($L$112,MATCH($N$1,$C$112:$C$113,0)-1,0)</f>
        <v>265.92515624999999</v>
      </c>
      <c r="I142" s="48"/>
      <c r="K142" s="73" t="s">
        <v>120</v>
      </c>
      <c r="L142" s="77">
        <f ca="1">IFERROR(L140/L$139,"")</f>
        <v>0.85490242477596134</v>
      </c>
      <c r="M142" s="77">
        <f t="shared" ref="M142:N143" ca="1" si="3">IFERROR(M140/M$139,"")</f>
        <v>0.87761257366888834</v>
      </c>
      <c r="N142" s="77">
        <f t="shared" ca="1" si="3"/>
        <v>0.91381870973627088</v>
      </c>
      <c r="O142" s="77"/>
    </row>
    <row r="143" spans="1:15" ht="18" customHeight="1" x14ac:dyDescent="0.2">
      <c r="I143" s="48"/>
      <c r="K143" s="73" t="s">
        <v>121</v>
      </c>
      <c r="L143" s="77">
        <f ca="1">IFERROR(L141/L$139,"")</f>
        <v>0.14509757522403866</v>
      </c>
      <c r="M143" s="77">
        <f t="shared" ca="1" si="3"/>
        <v>0.12238742633110679</v>
      </c>
      <c r="N143" s="77">
        <f t="shared" ca="1" si="3"/>
        <v>8.6181290263729032E-2</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7</v>
      </c>
      <c r="B161" s="53"/>
      <c r="C161" s="78" t="s">
        <v>45</v>
      </c>
      <c r="D161" s="78" t="s">
        <v>122</v>
      </c>
      <c r="E161" s="78" t="s">
        <v>47</v>
      </c>
      <c r="F161" s="78" t="s">
        <v>123</v>
      </c>
      <c r="G161" s="79">
        <v>7</v>
      </c>
      <c r="H161" s="78"/>
      <c r="I161" s="78" t="s">
        <v>45</v>
      </c>
      <c r="J161" s="78" t="s">
        <v>122</v>
      </c>
      <c r="K161" s="78" t="s">
        <v>47</v>
      </c>
      <c r="L161" s="53" t="s">
        <v>123</v>
      </c>
      <c r="R161" s="21"/>
      <c r="S161" s="21"/>
    </row>
    <row r="162" spans="1:19" s="48" customFormat="1" x14ac:dyDescent="0.2">
      <c r="A162" s="49">
        <v>1</v>
      </c>
      <c r="B162" s="53" t="s">
        <v>20</v>
      </c>
      <c r="C162" s="53">
        <v>0.32787420702696041</v>
      </c>
      <c r="D162" s="53">
        <v>0.43978256372426705</v>
      </c>
      <c r="E162" s="53">
        <v>0.35297600649171801</v>
      </c>
      <c r="F162" s="49">
        <v>12153634</v>
      </c>
      <c r="G162" s="49">
        <v>1</v>
      </c>
      <c r="H162" s="53" t="s">
        <v>20</v>
      </c>
      <c r="I162" s="53">
        <v>0.28970309018236123</v>
      </c>
      <c r="J162" s="53">
        <v>0.38217160040577236</v>
      </c>
      <c r="K162" s="53">
        <v>0.25561801109302701</v>
      </c>
      <c r="L162" s="49">
        <v>12153634</v>
      </c>
      <c r="R162" s="21"/>
      <c r="S162" s="21"/>
    </row>
    <row r="163" spans="1:19" s="48" customFormat="1" x14ac:dyDescent="0.2">
      <c r="A163" s="49">
        <v>2</v>
      </c>
      <c r="B163" s="53" t="s">
        <v>126</v>
      </c>
      <c r="C163" s="53">
        <v>0.12595988791286963</v>
      </c>
      <c r="D163" s="53">
        <v>0.18568051955480946</v>
      </c>
      <c r="E163" s="53">
        <v>0.16737783039086795</v>
      </c>
      <c r="F163" s="49">
        <v>3050596</v>
      </c>
      <c r="G163" s="49">
        <v>2</v>
      </c>
      <c r="H163" s="53" t="s">
        <v>98</v>
      </c>
      <c r="I163" s="53">
        <v>0.22162035180759823</v>
      </c>
      <c r="J163" s="53">
        <v>0.25623082466926311</v>
      </c>
      <c r="K163" s="53">
        <v>0.15870760406058917</v>
      </c>
      <c r="L163" s="49">
        <v>553960</v>
      </c>
      <c r="N163" s="48" t="s">
        <v>124</v>
      </c>
      <c r="R163" s="21"/>
      <c r="S163" s="21"/>
    </row>
    <row r="164" spans="1:19" s="48" customFormat="1" x14ac:dyDescent="0.2">
      <c r="A164" s="49">
        <v>3</v>
      </c>
      <c r="B164" s="53" t="s">
        <v>265</v>
      </c>
      <c r="C164" s="53">
        <v>0.21325187016849692</v>
      </c>
      <c r="D164" s="53">
        <v>0.14521807876193174</v>
      </c>
      <c r="E164" s="53">
        <v>0.10464343950032694</v>
      </c>
      <c r="F164" s="49">
        <v>3689192</v>
      </c>
      <c r="G164" s="49">
        <v>3</v>
      </c>
      <c r="H164" s="53" t="s">
        <v>126</v>
      </c>
      <c r="I164" s="53">
        <v>9.3286861462895651E-2</v>
      </c>
      <c r="J164" s="53">
        <v>0.15089484645204118</v>
      </c>
      <c r="K164" s="53">
        <v>0.11498889884513901</v>
      </c>
      <c r="L164" s="49">
        <v>3050596</v>
      </c>
      <c r="N164" s="48" t="s">
        <v>125</v>
      </c>
      <c r="R164" s="21"/>
      <c r="S164" s="21"/>
    </row>
    <row r="165" spans="1:19" s="48" customFormat="1" x14ac:dyDescent="0.2">
      <c r="A165" s="49">
        <v>4</v>
      </c>
      <c r="B165" s="53" t="s">
        <v>98</v>
      </c>
      <c r="C165" s="53">
        <v>0.13090300084620476</v>
      </c>
      <c r="D165" s="53">
        <v>0.13800622513305957</v>
      </c>
      <c r="E165" s="53">
        <v>0.10316494161150976</v>
      </c>
      <c r="F165" s="49">
        <v>553960</v>
      </c>
      <c r="G165" s="49">
        <v>4</v>
      </c>
      <c r="H165" s="53" t="s">
        <v>265</v>
      </c>
      <c r="I165" s="53">
        <v>0.1335389129911391</v>
      </c>
      <c r="J165" s="53">
        <v>9.3681142904593548E-2</v>
      </c>
      <c r="K165" s="53">
        <v>5.1837789454485174E-2</v>
      </c>
      <c r="L165" s="49">
        <v>3689192</v>
      </c>
      <c r="R165" s="21"/>
      <c r="S165" s="21"/>
    </row>
    <row r="166" spans="1:19" s="48" customFormat="1" x14ac:dyDescent="0.2">
      <c r="A166" s="49">
        <v>5</v>
      </c>
      <c r="B166" s="53" t="s">
        <v>99</v>
      </c>
      <c r="C166" s="53">
        <v>0.13214338897305686</v>
      </c>
      <c r="D166" s="53">
        <v>5.2702321887143681E-2</v>
      </c>
      <c r="E166" s="53">
        <v>7.0484586484871284E-2</v>
      </c>
      <c r="F166" s="49">
        <v>1692097</v>
      </c>
      <c r="G166" s="49">
        <v>5</v>
      </c>
      <c r="H166" s="53" t="s">
        <v>99</v>
      </c>
      <c r="I166" s="53">
        <v>0.17218205473492001</v>
      </c>
      <c r="J166" s="53">
        <v>5.9116822948102526E-2</v>
      </c>
      <c r="K166" s="53">
        <v>5.4103584019553369E-2</v>
      </c>
      <c r="L166" s="49">
        <v>1692097</v>
      </c>
      <c r="R166" s="21"/>
      <c r="S166" s="21"/>
    </row>
    <row r="167" spans="1:19" s="48" customFormat="1" x14ac:dyDescent="0.2">
      <c r="A167" s="49">
        <v>6</v>
      </c>
      <c r="B167" s="53" t="s">
        <v>107</v>
      </c>
      <c r="C167" s="53">
        <v>6.9867645072411388E-2</v>
      </c>
      <c r="D167" s="53">
        <v>3.8610290938788538E-2</v>
      </c>
      <c r="E167" s="53">
        <v>0.20135319552070596</v>
      </c>
      <c r="F167" s="49">
        <v>5920853</v>
      </c>
      <c r="G167" s="49">
        <v>6</v>
      </c>
      <c r="H167" s="53" t="s">
        <v>107</v>
      </c>
      <c r="I167" s="53">
        <v>8.9668728821085786E-2</v>
      </c>
      <c r="J167" s="53">
        <v>5.7904762620227257E-2</v>
      </c>
      <c r="K167" s="53">
        <v>0.36474411252720629</v>
      </c>
      <c r="L167" s="49">
        <v>5920853</v>
      </c>
      <c r="R167" s="21"/>
      <c r="S167" s="21"/>
    </row>
    <row r="168" spans="1:19" s="48" customFormat="1" x14ac:dyDescent="0.2">
      <c r="A168" s="49">
        <v>7</v>
      </c>
      <c r="B168" s="53"/>
      <c r="C168" s="53">
        <v>0</v>
      </c>
      <c r="D168" s="53">
        <v>0</v>
      </c>
      <c r="E168" s="53">
        <v>0</v>
      </c>
      <c r="F168" s="49"/>
      <c r="G168" s="49">
        <v>7</v>
      </c>
      <c r="H168" s="53"/>
      <c r="I168" s="53">
        <v>0</v>
      </c>
      <c r="J168" s="53">
        <v>0</v>
      </c>
      <c r="K168" s="53">
        <v>0</v>
      </c>
      <c r="L168" s="49"/>
      <c r="R168" s="21"/>
      <c r="S168" s="21"/>
    </row>
    <row r="169" spans="1:19" s="48" customFormat="1" x14ac:dyDescent="0.2">
      <c r="A169" s="49">
        <v>8</v>
      </c>
      <c r="B169" s="53"/>
      <c r="C169" s="53">
        <v>0</v>
      </c>
      <c r="D169" s="53">
        <v>0</v>
      </c>
      <c r="E169" s="53">
        <v>0</v>
      </c>
      <c r="F169" s="49"/>
      <c r="G169" s="49">
        <v>8</v>
      </c>
      <c r="H169" s="53"/>
      <c r="I169" s="53">
        <v>0</v>
      </c>
      <c r="J169" s="53">
        <v>0</v>
      </c>
      <c r="K169" s="53">
        <v>0</v>
      </c>
      <c r="L169" s="49"/>
      <c r="R169" s="21"/>
      <c r="S169" s="21"/>
    </row>
    <row r="170" spans="1:19" s="48" customFormat="1" x14ac:dyDescent="0.2">
      <c r="A170" s="49">
        <v>9</v>
      </c>
      <c r="B170" s="53"/>
      <c r="C170" s="53">
        <v>0</v>
      </c>
      <c r="D170" s="53">
        <v>0</v>
      </c>
      <c r="E170" s="53">
        <v>0</v>
      </c>
      <c r="F170" s="49"/>
      <c r="G170" s="49">
        <v>9</v>
      </c>
      <c r="H170" s="53"/>
      <c r="I170" s="53">
        <v>0</v>
      </c>
      <c r="J170" s="53">
        <v>0</v>
      </c>
      <c r="K170" s="53">
        <v>0</v>
      </c>
      <c r="L170" s="49"/>
      <c r="R170" s="21"/>
      <c r="S170" s="21"/>
    </row>
    <row r="171" spans="1:19" s="48" customFormat="1" x14ac:dyDescent="0.2">
      <c r="A171" s="49">
        <v>10</v>
      </c>
      <c r="B171" s="53"/>
      <c r="C171" s="53">
        <v>0</v>
      </c>
      <c r="D171" s="53">
        <v>0</v>
      </c>
      <c r="E171" s="53">
        <v>0</v>
      </c>
      <c r="F171" s="49"/>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1F4154CE-92E9-4E63-BFC0-4453DC94FF24}">
      <formula1>$C$112:$C$113</formula1>
    </dataValidation>
  </dataValidations>
  <hyperlinks>
    <hyperlink ref="O1:P1" location="Home_page" display="Back to home page" xr:uid="{21B2EABC-BEC2-44E7-95C7-4F7BA182A17F}"/>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C6C6EAE0-A483-4F31-A727-55529118AA5E}">
          <x14:colorSeries rgb="FF323232"/>
          <x14:colorNegative rgb="FFD00000"/>
          <x14:colorAxis rgb="FF000000"/>
          <x14:colorMarkers rgb="FFD00000"/>
          <x14:colorFirst rgb="FFD00000"/>
          <x14:colorLast rgb="FFD00000"/>
          <x14:colorHigh rgb="FFD00000"/>
          <x14:colorLow rgb="FFD00000"/>
          <x14:sparklines>
            <x14:sparkline>
              <xm:f>'NSWOS dem pair trawl seine'!D3:N3</xm:f>
              <xm:sqref>C3</xm:sqref>
            </x14:sparkline>
            <x14:sparkline>
              <xm:f>'NSWOS dem pair trawl seine'!D4:N4</xm:f>
              <xm:sqref>C4</xm:sqref>
            </x14:sparkline>
            <x14:sparkline>
              <xm:f>'NSWOS dem pair trawl seine'!D5:N5</xm:f>
              <xm:sqref>C5</xm:sqref>
            </x14:sparkline>
            <x14:sparkline>
              <xm:f>'NSWOS dem pair trawl seine'!D6:N6</xm:f>
              <xm:sqref>C6</xm:sqref>
            </x14:sparkline>
            <x14:sparkline>
              <xm:f>'NSWOS dem pair trawl seine'!D7:N7</xm:f>
              <xm:sqref>C7</xm:sqref>
            </x14:sparkline>
            <x14:sparkline>
              <xm:f>'NSWOS dem pair trawl seine'!D8:N8</xm:f>
              <xm:sqref>C8</xm:sqref>
            </x14:sparkline>
            <x14:sparkline>
              <xm:f>'NSWOS dem pair trawl seine'!D9:N9</xm:f>
              <xm:sqref>C9</xm:sqref>
            </x14:sparkline>
            <x14:sparkline>
              <xm:f>'NSWOS dem pair trawl seine'!D10:N10</xm:f>
              <xm:sqref>C10</xm:sqref>
            </x14:sparkline>
            <x14:sparkline>
              <xm:f>'NSWOS dem pair trawl seine'!D11:N11</xm:f>
              <xm:sqref>C11</xm:sqref>
            </x14:sparkline>
            <x14:sparkline>
              <xm:f>'NSWOS dem pair trawl seine'!D12:N12</xm:f>
              <xm:sqref>C12</xm:sqref>
            </x14:sparkline>
            <x14:sparkline>
              <xm:f>'NSWOS dem pair trawl seine'!D13:N13</xm:f>
              <xm:sqref>C13</xm:sqref>
            </x14:sparkline>
            <x14:sparkline>
              <xm:f>'NSWOS dem pair trawl seine'!D14:N14</xm:f>
              <xm:sqref>C14</xm:sqref>
            </x14:sparkline>
            <x14:sparkline>
              <xm:f>'NSWOS dem pair trawl seine'!D15:N15</xm:f>
              <xm:sqref>C15</xm:sqref>
            </x14:sparkline>
            <x14:sparkline>
              <xm:f>'NSWOS dem pair trawl seine'!D16:N16</xm:f>
              <xm:sqref>C16</xm:sqref>
            </x14:sparkline>
            <x14:sparkline>
              <xm:f>'NSWOS dem pair trawl seine'!D17:N17</xm:f>
              <xm:sqref>C17</xm:sqref>
            </x14:sparkline>
            <x14:sparkline>
              <xm:f>'NSWOS dem pair trawl seine'!D18:N18</xm:f>
              <xm:sqref>C18</xm:sqref>
            </x14:sparkline>
            <x14:sparkline>
              <xm:f>'NSWOS dem pair trawl seine'!D19:N19</xm:f>
              <xm:sqref>C19</xm:sqref>
            </x14:sparkline>
            <x14:sparkline>
              <xm:f>'NSWOS dem pair trawl seine'!D20:N20</xm:f>
              <xm:sqref>C20</xm:sqref>
            </x14:sparkline>
            <x14:sparkline>
              <xm:f>'NSWOS dem pair trawl seine'!D21:N21</xm:f>
              <xm:sqref>C21</xm:sqref>
            </x14:sparkline>
            <x14:sparkline>
              <xm:f>'NSWOS dem pair trawl seine'!D22:N22</xm:f>
              <xm:sqref>C22</xm:sqref>
            </x14:sparkline>
            <x14:sparkline>
              <xm:f>'NSWOS dem pair trawl seine'!D23:N23</xm:f>
              <xm:sqref>C23</xm:sqref>
            </x14:sparkline>
            <x14:sparkline>
              <xm:f>'NSWOS dem pair trawl seine'!D24:N24</xm:f>
              <xm:sqref>C24</xm:sqref>
            </x14:sparkline>
            <x14:sparkline>
              <xm:f>'NSWOS dem pair trawl seine'!D25:N25</xm:f>
              <xm:sqref>C25</xm:sqref>
            </x14:sparkline>
            <x14:sparkline>
              <xm:f>'NSWOS dem pair trawl seine'!D26:N26</xm:f>
              <xm:sqref>C26</xm:sqref>
            </x14:sparkline>
            <x14:sparkline>
              <xm:f>'NSWOS dem pair trawl seine'!D27:N27</xm:f>
              <xm:sqref>C27</xm:sqref>
            </x14:sparkline>
            <x14:sparkline>
              <xm:f>'NSWOS dem pair trawl seine'!D28:N28</xm:f>
              <xm:sqref>C28</xm:sqref>
            </x14:sparkline>
            <x14:sparkline>
              <xm:f>'NSWOS dem pair trawl seine'!D29:N29</xm:f>
              <xm:sqref>C29</xm:sqref>
            </x14:sparkline>
            <x14:sparkline>
              <xm:f>'NSWOS dem pair trawl seine'!D30:N30</xm:f>
              <xm:sqref>C30</xm:sqref>
            </x14:sparkline>
            <x14:sparkline>
              <xm:f>'NSWOS dem pair trawl seine'!D31:N31</xm:f>
              <xm:sqref>C31</xm:sqref>
            </x14:sparkline>
            <x14:sparkline>
              <xm:f>'NSWOS dem pair trawl seine'!D32:N32</xm:f>
              <xm:sqref>C32</xm:sqref>
            </x14:sparkline>
            <x14:sparkline>
              <xm:f>'NSWOS dem pair trawl seine'!D33:N33</xm:f>
              <xm:sqref>C33</xm:sqref>
            </x14:sparkline>
            <x14:sparkline>
              <xm:f>'NSWOS dem pair trawl seine'!D34:N34</xm:f>
              <xm:sqref>C34</xm:sqref>
            </x14:sparkline>
            <x14:sparkline>
              <xm:f>'NSWOS dem pair trawl seine'!D35:N35</xm:f>
              <xm:sqref>C35</xm:sqref>
            </x14:sparkline>
            <x14:sparkline>
              <xm:f>'NSWOS dem pair trawl seine'!D36:N36</xm:f>
              <xm:sqref>C36</xm:sqref>
            </x14:sparkline>
            <x14:sparkline>
              <xm:f>'NSWOS dem pair trawl seine'!D37:N37</xm:f>
              <xm:sqref>C37</xm:sqref>
            </x14:sparkline>
            <x14:sparkline>
              <xm:f>'NSWOS dem pair trawl seine'!D38:N38</xm:f>
              <xm:sqref>C38</xm:sqref>
            </x14:sparkline>
            <x14:sparkline>
              <xm:f>'NSWOS dem pair trawl seine'!D39:N39</xm:f>
              <xm:sqref>C39</xm:sqref>
            </x14:sparkline>
            <x14:sparkline>
              <xm:f>'NSWOS dem pair trawl seine'!D40:N40</xm:f>
              <xm:sqref>C40</xm:sqref>
            </x14:sparkline>
            <x14:sparkline>
              <xm:f>'NSWOS dem pair trawl seine'!D41:N41</xm:f>
              <xm:sqref>C41</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BFAD8-79B6-42EA-9A7C-18E1CB94C4EE}">
  <sheetPr codeName="Feuil23">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341</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17</v>
      </c>
      <c r="E3" s="28">
        <v>13</v>
      </c>
      <c r="F3" s="28">
        <v>17</v>
      </c>
      <c r="G3" s="28">
        <v>19</v>
      </c>
      <c r="H3" s="28">
        <v>16</v>
      </c>
      <c r="I3" s="28">
        <v>16</v>
      </c>
      <c r="J3" s="28">
        <v>17</v>
      </c>
      <c r="K3" s="28">
        <v>15</v>
      </c>
      <c r="L3" s="28">
        <v>14</v>
      </c>
      <c r="M3" s="28">
        <v>21</v>
      </c>
      <c r="N3" s="28">
        <v>21</v>
      </c>
      <c r="O3" s="29">
        <f t="shared" ref="O3:O41" si="0">IF(N3=0,"",IFERROR(IF(AND(N3&gt;0,D3&lt;0),"na",IF(AND(N3&lt;0,D3&lt;0),-1,1)*(N3-D3)/D3),""))</f>
        <v>0.23529411764705882</v>
      </c>
      <c r="P3" s="29">
        <f t="shared" ref="P3:P41" si="1">IF(N3=0,"",IFERROR(IF(AND(N3&gt;0,J3&lt;0),"na",IF(AND(N3&lt;0,J3&lt;0),-1,1)*(N3-J3)/J3),""))</f>
        <v>0.23529411764705882</v>
      </c>
    </row>
    <row r="4" spans="1:17" ht="18" customHeight="1" x14ac:dyDescent="0.2">
      <c r="A4" s="193"/>
      <c r="B4" s="30" t="s">
        <v>55</v>
      </c>
      <c r="C4" s="31"/>
      <c r="D4" s="31">
        <v>7483</v>
      </c>
      <c r="E4" s="31">
        <v>5660</v>
      </c>
      <c r="F4" s="31">
        <v>8300</v>
      </c>
      <c r="G4" s="31">
        <v>8728</v>
      </c>
      <c r="H4" s="31">
        <v>7522</v>
      </c>
      <c r="I4" s="31">
        <v>7090</v>
      </c>
      <c r="J4" s="31">
        <v>9328</v>
      </c>
      <c r="K4" s="31">
        <v>7443</v>
      </c>
      <c r="L4" s="31">
        <v>8351</v>
      </c>
      <c r="M4" s="31">
        <v>14721</v>
      </c>
      <c r="N4" s="31">
        <v>16827</v>
      </c>
      <c r="O4" s="29">
        <f t="shared" si="0"/>
        <v>1.2486970466390486</v>
      </c>
      <c r="P4" s="29">
        <f t="shared" si="1"/>
        <v>0.80392367066895365</v>
      </c>
    </row>
    <row r="5" spans="1:17" ht="18" customHeight="1" x14ac:dyDescent="0.2">
      <c r="A5" s="193"/>
      <c r="B5" s="30" t="s">
        <v>56</v>
      </c>
      <c r="C5" s="31"/>
      <c r="D5" s="31">
        <v>3028</v>
      </c>
      <c r="E5" s="31">
        <v>2273</v>
      </c>
      <c r="F5" s="31">
        <v>3582</v>
      </c>
      <c r="G5" s="31">
        <v>3752</v>
      </c>
      <c r="H5" s="31">
        <v>3090</v>
      </c>
      <c r="I5" s="31">
        <v>3114</v>
      </c>
      <c r="J5" s="31">
        <v>3881</v>
      </c>
      <c r="K5" s="31">
        <v>3320</v>
      </c>
      <c r="L5" s="31">
        <v>3716</v>
      </c>
      <c r="M5" s="31">
        <v>6400</v>
      </c>
      <c r="N5" s="31">
        <v>7016</v>
      </c>
      <c r="O5" s="29">
        <f t="shared" si="0"/>
        <v>1.3170409511228534</v>
      </c>
      <c r="P5" s="29">
        <f t="shared" si="1"/>
        <v>0.80778149961350165</v>
      </c>
      <c r="Q5" s="32"/>
    </row>
    <row r="6" spans="1:17" ht="18" customHeight="1" x14ac:dyDescent="0.2">
      <c r="A6" s="193"/>
      <c r="B6" s="30" t="s">
        <v>57</v>
      </c>
      <c r="C6" s="31"/>
      <c r="D6" s="31">
        <v>6181.39892578125</v>
      </c>
      <c r="E6" s="31">
        <v>4602.3984375</v>
      </c>
      <c r="F6" s="31">
        <v>7175.685546875</v>
      </c>
      <c r="G6" s="31">
        <v>7485.921875</v>
      </c>
      <c r="H6" s="31">
        <v>6208.4619140625</v>
      </c>
      <c r="I6" s="31">
        <v>6019.3701171875</v>
      </c>
      <c r="J6" s="31">
        <v>7481.39892578125</v>
      </c>
      <c r="K6" s="31">
        <v>6113.0419921875</v>
      </c>
      <c r="L6" s="31">
        <v>6691.64599609375</v>
      </c>
      <c r="M6" s="31">
        <v>9099.4208984375</v>
      </c>
      <c r="N6" s="31">
        <v>8149.2470703125</v>
      </c>
      <c r="O6" s="29">
        <f t="shared" si="0"/>
        <v>0.31834996708007146</v>
      </c>
      <c r="P6" s="29">
        <f t="shared" si="1"/>
        <v>8.9267816240865605E-2</v>
      </c>
    </row>
    <row r="7" spans="1:17" ht="18" customHeight="1" x14ac:dyDescent="0.2">
      <c r="A7" s="193"/>
      <c r="B7" s="30" t="s">
        <v>58</v>
      </c>
      <c r="C7" s="31"/>
      <c r="D7" s="31">
        <v>9235.8984375</v>
      </c>
      <c r="E7" s="31">
        <v>8043.44189453125</v>
      </c>
      <c r="F7" s="31">
        <v>11602.3984375</v>
      </c>
      <c r="G7" s="31">
        <v>13589.15234375</v>
      </c>
      <c r="H7" s="31">
        <v>10911.8828125</v>
      </c>
      <c r="I7" s="31">
        <v>11545.3828125</v>
      </c>
      <c r="J7" s="31">
        <v>14212.8369140625</v>
      </c>
      <c r="K7" s="31">
        <v>12705.7802734375</v>
      </c>
      <c r="L7" s="31">
        <v>13188.7958984375</v>
      </c>
      <c r="M7" s="31">
        <v>14241.0166015625</v>
      </c>
      <c r="N7" s="31">
        <v>13572.6767578125</v>
      </c>
      <c r="O7" s="29">
        <f t="shared" si="0"/>
        <v>0.46955673556392979</v>
      </c>
      <c r="P7" s="29">
        <f t="shared" si="1"/>
        <v>-4.5040983733276439E-2</v>
      </c>
    </row>
    <row r="8" spans="1:17" ht="18" customHeight="1" x14ac:dyDescent="0.2">
      <c r="A8" s="193"/>
      <c r="B8" s="30" t="s">
        <v>59</v>
      </c>
      <c r="C8" s="33"/>
      <c r="D8" s="33">
        <f ca="1">16.372613*OFFSET(D$112,MATCH($N$1,$C$112:$C$113,0)-1,0)</f>
        <v>16.372613000000001</v>
      </c>
      <c r="E8" s="33">
        <f ca="1">12.086357*OFFSET(E$112,MATCH($N$1,$C$112:$C$113,0)-1,0)</f>
        <v>12.086357</v>
      </c>
      <c r="F8" s="33">
        <f ca="1">17.559678*OFFSET(F$112,MATCH($N$1,$C$112:$C$113,0)-1,0)</f>
        <v>17.559678000000002</v>
      </c>
      <c r="G8" s="33">
        <f ca="1">22.476122*OFFSET(G$112,MATCH($N$1,$C$112:$C$113,0)-1,0)</f>
        <v>22.476122</v>
      </c>
      <c r="H8" s="33">
        <f ca="1">17.89187*OFFSET(H$112,MATCH($N$1,$C$112:$C$113,0)-1,0)</f>
        <v>17.891870000000001</v>
      </c>
      <c r="I8" s="33">
        <f ca="1">20.063958*OFFSET(I$112,MATCH($N$1,$C$112:$C$113,0)-1,0)</f>
        <v>20.063958</v>
      </c>
      <c r="J8" s="33">
        <f ca="1">26.012192*OFFSET(J$112,MATCH($N$1,$C$112:$C$113,0)-1,0)</f>
        <v>26.012191999999999</v>
      </c>
      <c r="K8" s="33">
        <f ca="1">22.634088*OFFSET(K$112,MATCH($N$1,$C$112:$C$113,0)-1,0)</f>
        <v>22.634087999999998</v>
      </c>
      <c r="L8" s="33">
        <f ca="1">25.315784*OFFSET(L$112,MATCH($N$1,$C$112:$C$113,0)-1,0)</f>
        <v>25.315784000000001</v>
      </c>
      <c r="M8" s="33">
        <f ca="1">23.027614*OFFSET(M$112,MATCH($N$1,$C$112:$C$113,0)-1,0)</f>
        <v>23.027614</v>
      </c>
      <c r="N8" s="33">
        <v>21.035878</v>
      </c>
      <c r="O8" s="29">
        <f t="shared" ca="1" si="0"/>
        <v>0.28482106063338813</v>
      </c>
      <c r="P8" s="29">
        <f t="shared" ca="1" si="1"/>
        <v>-0.19130698404809554</v>
      </c>
    </row>
    <row r="9" spans="1:17" ht="18" customHeight="1" x14ac:dyDescent="0.2">
      <c r="A9" s="193"/>
      <c r="B9" s="30" t="s">
        <v>60</v>
      </c>
      <c r="C9" s="31"/>
      <c r="D9" s="31">
        <v>2310</v>
      </c>
      <c r="E9" s="31">
        <v>1557</v>
      </c>
      <c r="F9" s="31">
        <v>2399</v>
      </c>
      <c r="G9" s="31">
        <v>2678</v>
      </c>
      <c r="H9" s="31">
        <v>2296</v>
      </c>
      <c r="I9" s="31">
        <v>2528</v>
      </c>
      <c r="J9" s="31">
        <v>2705</v>
      </c>
      <c r="K9" s="31">
        <v>2370</v>
      </c>
      <c r="L9" s="31">
        <v>2750</v>
      </c>
      <c r="M9" s="31">
        <v>3972</v>
      </c>
      <c r="N9" s="31">
        <v>4211</v>
      </c>
      <c r="O9" s="29">
        <f t="shared" si="0"/>
        <v>0.82294372294372298</v>
      </c>
      <c r="P9" s="29">
        <f t="shared" si="1"/>
        <v>0.55674676524953792</v>
      </c>
    </row>
    <row r="10" spans="1:17" ht="18" customHeight="1" x14ac:dyDescent="0.2">
      <c r="A10" s="193"/>
      <c r="B10" s="30" t="s">
        <v>61</v>
      </c>
      <c r="C10" s="31"/>
      <c r="D10" s="31">
        <v>100.9532470703125</v>
      </c>
      <c r="E10" s="31">
        <v>57.504562377929688</v>
      </c>
      <c r="F10" s="31">
        <v>117.01345825195313</v>
      </c>
      <c r="G10" s="31">
        <v>126.06272125244141</v>
      </c>
      <c r="H10" s="31">
        <v>100.52147674560547</v>
      </c>
      <c r="I10" s="31">
        <v>143.34326171875</v>
      </c>
      <c r="J10" s="31">
        <v>179.03501892089844</v>
      </c>
      <c r="K10" s="31">
        <v>113.03941345214844</v>
      </c>
      <c r="L10" s="31">
        <v>115.57421875</v>
      </c>
      <c r="M10" s="31">
        <v>147.61358642578125</v>
      </c>
      <c r="N10" s="31">
        <v>157.87379455566406</v>
      </c>
      <c r="O10" s="34">
        <f t="shared" si="0"/>
        <v>0.56383077451394126</v>
      </c>
      <c r="P10" s="34">
        <f t="shared" si="1"/>
        <v>-0.11819600708721607</v>
      </c>
    </row>
    <row r="11" spans="1:17" ht="18" customHeight="1" x14ac:dyDescent="0.2">
      <c r="A11" s="194" t="s">
        <v>27</v>
      </c>
      <c r="B11" s="35" t="s">
        <v>62</v>
      </c>
      <c r="C11" s="36"/>
      <c r="D11" s="36">
        <v>23.76588249206543</v>
      </c>
      <c r="E11" s="36">
        <v>23.332307815551758</v>
      </c>
      <c r="F11" s="36">
        <v>25.007646560668945</v>
      </c>
      <c r="G11" s="36">
        <v>24.441577911376953</v>
      </c>
      <c r="H11" s="36">
        <v>24.149374008178711</v>
      </c>
      <c r="I11" s="36">
        <v>24.066249847412109</v>
      </c>
      <c r="J11" s="36">
        <v>25.570587158203125</v>
      </c>
      <c r="K11" s="36">
        <v>24.865999221801758</v>
      </c>
      <c r="L11" s="36">
        <v>26.718570709228516</v>
      </c>
      <c r="M11" s="36">
        <v>27.861904144287109</v>
      </c>
      <c r="N11" s="36">
        <v>28.717618942260742</v>
      </c>
      <c r="O11" s="29">
        <f t="shared" si="0"/>
        <v>0.20835483184133888</v>
      </c>
      <c r="P11" s="29">
        <f t="shared" si="1"/>
        <v>0.12307233168277247</v>
      </c>
    </row>
    <row r="12" spans="1:17" ht="18" customHeight="1" x14ac:dyDescent="0.2">
      <c r="A12" s="195"/>
      <c r="B12" s="37" t="s">
        <v>55</v>
      </c>
      <c r="C12" s="31"/>
      <c r="D12" s="31">
        <v>440.17648315429688</v>
      </c>
      <c r="E12" s="31">
        <v>435.38461303710938</v>
      </c>
      <c r="F12" s="31">
        <v>488.23529052734375</v>
      </c>
      <c r="G12" s="31">
        <v>459.368408203125</v>
      </c>
      <c r="H12" s="31">
        <v>470.125</v>
      </c>
      <c r="I12" s="31">
        <v>443.125</v>
      </c>
      <c r="J12" s="31">
        <v>548.70587158203125</v>
      </c>
      <c r="K12" s="31">
        <v>496.20001220703125</v>
      </c>
      <c r="L12" s="31">
        <v>596.5</v>
      </c>
      <c r="M12" s="31">
        <v>701</v>
      </c>
      <c r="N12" s="31">
        <v>801.28570556640625</v>
      </c>
      <c r="O12" s="29">
        <f t="shared" si="0"/>
        <v>0.82037372788388663</v>
      </c>
      <c r="P12" s="29">
        <f t="shared" si="1"/>
        <v>0.46031917474499712</v>
      </c>
    </row>
    <row r="13" spans="1:17" ht="18" customHeight="1" x14ac:dyDescent="0.2">
      <c r="A13" s="195"/>
      <c r="B13" s="37" t="s">
        <v>56</v>
      </c>
      <c r="C13" s="31"/>
      <c r="D13" s="31">
        <v>178.11764526367188</v>
      </c>
      <c r="E13" s="31">
        <v>174.84616088867188</v>
      </c>
      <c r="F13" s="31">
        <v>210.70588684082031</v>
      </c>
      <c r="G13" s="31">
        <v>197.47367858886719</v>
      </c>
      <c r="H13" s="31">
        <v>193.125</v>
      </c>
      <c r="I13" s="31">
        <v>194.625</v>
      </c>
      <c r="J13" s="31">
        <v>228.29411315917969</v>
      </c>
      <c r="K13" s="31">
        <v>221.33332824707031</v>
      </c>
      <c r="L13" s="31">
        <v>265.42855834960938</v>
      </c>
      <c r="M13" s="31">
        <v>304.76190185546875</v>
      </c>
      <c r="N13" s="31">
        <v>334.09524536132813</v>
      </c>
      <c r="O13" s="29">
        <f t="shared" si="0"/>
        <v>0.87569987727357845</v>
      </c>
      <c r="P13" s="29">
        <f t="shared" si="1"/>
        <v>0.46344222695036313</v>
      </c>
    </row>
    <row r="14" spans="1:17" ht="18" customHeight="1" x14ac:dyDescent="0.2">
      <c r="A14" s="195"/>
      <c r="B14" s="37" t="s">
        <v>57</v>
      </c>
      <c r="C14" s="31"/>
      <c r="D14" s="31">
        <v>363.61172485351563</v>
      </c>
      <c r="E14" s="31">
        <v>354.0306396484375</v>
      </c>
      <c r="F14" s="31">
        <v>422.09915161132813</v>
      </c>
      <c r="G14" s="31">
        <v>393.99588012695313</v>
      </c>
      <c r="H14" s="31">
        <v>388.02886962890625</v>
      </c>
      <c r="I14" s="31">
        <v>376.21063232421875</v>
      </c>
      <c r="J14" s="31">
        <v>440.082275390625</v>
      </c>
      <c r="K14" s="31">
        <v>407.5361328125</v>
      </c>
      <c r="L14" s="31">
        <v>477.9747314453125</v>
      </c>
      <c r="M14" s="31">
        <v>505.52340698242188</v>
      </c>
      <c r="N14" s="31">
        <v>543.28314208984375</v>
      </c>
      <c r="O14" s="29">
        <f t="shared" si="0"/>
        <v>0.49412987798649899</v>
      </c>
      <c r="P14" s="29">
        <f t="shared" si="1"/>
        <v>0.23450357460457999</v>
      </c>
    </row>
    <row r="15" spans="1:17" ht="18" customHeight="1" x14ac:dyDescent="0.2">
      <c r="A15" s="195"/>
      <c r="B15" s="37" t="s">
        <v>58</v>
      </c>
      <c r="C15" s="33"/>
      <c r="D15" s="33">
        <v>543.28814697265625</v>
      </c>
      <c r="E15" s="33">
        <v>618.726318359375</v>
      </c>
      <c r="F15" s="33">
        <v>682.4940185546875</v>
      </c>
      <c r="G15" s="33">
        <v>715.21856689453125</v>
      </c>
      <c r="H15" s="33">
        <v>681.99267578125</v>
      </c>
      <c r="I15" s="33">
        <v>721.58642578125</v>
      </c>
      <c r="J15" s="33">
        <v>836.0491943359375</v>
      </c>
      <c r="K15" s="33">
        <v>847.05206298828125</v>
      </c>
      <c r="L15" s="33">
        <v>942.056884765625</v>
      </c>
      <c r="M15" s="33">
        <v>678.14361572265625</v>
      </c>
      <c r="N15" s="33">
        <v>646.31793212890625</v>
      </c>
      <c r="O15" s="29">
        <f t="shared" si="0"/>
        <v>0.1896411429742374</v>
      </c>
      <c r="P15" s="29">
        <f t="shared" si="1"/>
        <v>-0.22693791644369948</v>
      </c>
    </row>
    <row r="16" spans="1:17" ht="18" customHeight="1" x14ac:dyDescent="0.2">
      <c r="A16" s="195"/>
      <c r="B16" s="37" t="s">
        <v>63</v>
      </c>
      <c r="C16" s="33"/>
      <c r="D16" s="33">
        <f ca="1">963.094875*OFFSET(D$112,MATCH($N$1,$C$112:$C$113,0)-1,0)</f>
        <v>963.094875</v>
      </c>
      <c r="E16" s="33">
        <f ca="1">929.71975*OFFSET(E$112,MATCH($N$1,$C$112:$C$113,0)-1,0)</f>
        <v>929.71974999999998</v>
      </c>
      <c r="F16" s="33">
        <f ca="1">1032.9221875*OFFSET(F$112,MATCH($N$1,$C$112:$C$113,0)-1,0)</f>
        <v>1032.9221875000001</v>
      </c>
      <c r="G16" s="33">
        <f ca="1">1182.95375*OFFSET(G$112,MATCH($N$1,$C$112:$C$113,0)-1,0)</f>
        <v>1182.9537499999999</v>
      </c>
      <c r="H16" s="33">
        <f ca="1">1118.241875*OFFSET(H$112,MATCH($N$1,$C$112:$C$113,0)-1,0)</f>
        <v>1118.2418749999999</v>
      </c>
      <c r="I16" s="33">
        <f ca="1">1253.997375*OFFSET(I$112,MATCH($N$1,$C$112:$C$113,0)-1,0)</f>
        <v>1253.9973749999999</v>
      </c>
      <c r="J16" s="33">
        <f ca="1">1530.128875*OFFSET(J$112,MATCH($N$1,$C$112:$C$113,0)-1,0)</f>
        <v>1530.1288750000001</v>
      </c>
      <c r="K16" s="33">
        <f ca="1">1508.93925*OFFSET(K$112,MATCH($N$1,$C$112:$C$113,0)-1,0)</f>
        <v>1508.9392499999999</v>
      </c>
      <c r="L16" s="33">
        <f ca="1">1808.27025*OFFSET(L$112,MATCH($N$1,$C$112:$C$113,0)-1,0)</f>
        <v>1808.27025</v>
      </c>
      <c r="M16" s="33">
        <f ca="1">1096.553*OFFSET(M$112,MATCH($N$1,$C$112:$C$113,0)-1,0)</f>
        <v>1096.5530000000001</v>
      </c>
      <c r="N16" s="33">
        <v>1001.7085000000001</v>
      </c>
      <c r="O16" s="29">
        <f t="shared" ca="1" si="0"/>
        <v>4.0093272223050785E-2</v>
      </c>
      <c r="P16" s="29">
        <f t="shared" ca="1" si="1"/>
        <v>-0.345343705117649</v>
      </c>
    </row>
    <row r="17" spans="1:16" ht="18" customHeight="1" x14ac:dyDescent="0.2">
      <c r="A17" s="195"/>
      <c r="B17" s="37" t="s">
        <v>60</v>
      </c>
      <c r="C17" s="31"/>
      <c r="D17" s="31">
        <v>135.88235473632813</v>
      </c>
      <c r="E17" s="31">
        <v>119.76923370361328</v>
      </c>
      <c r="F17" s="31">
        <v>141.11764526367188</v>
      </c>
      <c r="G17" s="31">
        <v>140.94737243652344</v>
      </c>
      <c r="H17" s="31">
        <v>143.5</v>
      </c>
      <c r="I17" s="31">
        <v>158</v>
      </c>
      <c r="J17" s="31">
        <v>159.11764526367188</v>
      </c>
      <c r="K17" s="31">
        <v>158</v>
      </c>
      <c r="L17" s="31">
        <v>196.42857360839844</v>
      </c>
      <c r="M17" s="31">
        <v>189.14285278320313</v>
      </c>
      <c r="N17" s="31">
        <v>200.5238037109375</v>
      </c>
      <c r="O17" s="29">
        <f t="shared" si="0"/>
        <v>0.47571628487041145</v>
      </c>
      <c r="P17" s="29">
        <f t="shared" si="1"/>
        <v>0.26022354955449467</v>
      </c>
    </row>
    <row r="18" spans="1:16" ht="18" customHeight="1" x14ac:dyDescent="0.2">
      <c r="A18" s="195"/>
      <c r="B18" s="37" t="s">
        <v>64</v>
      </c>
      <c r="C18" s="31"/>
      <c r="D18" s="31">
        <v>25.470588684082031</v>
      </c>
      <c r="E18" s="31">
        <v>26.615385055541992</v>
      </c>
      <c r="F18" s="31">
        <v>25.411764144897461</v>
      </c>
      <c r="G18" s="31">
        <v>28</v>
      </c>
      <c r="H18" s="31">
        <v>27.625</v>
      </c>
      <c r="I18" s="31">
        <v>26.6875</v>
      </c>
      <c r="J18" s="31">
        <v>24</v>
      </c>
      <c r="K18" s="31">
        <v>18.600000381469727</v>
      </c>
      <c r="L18" s="31">
        <v>15</v>
      </c>
      <c r="M18" s="31">
        <v>14.277777671813965</v>
      </c>
      <c r="N18" s="31">
        <v>11.266666412353516</v>
      </c>
      <c r="O18" s="29">
        <f t="shared" si="0"/>
        <v>-0.5576597560387494</v>
      </c>
      <c r="P18" s="29">
        <f t="shared" si="1"/>
        <v>-0.53055556615193689</v>
      </c>
    </row>
    <row r="19" spans="1:16" ht="18" customHeight="1" x14ac:dyDescent="0.2">
      <c r="A19" s="195"/>
      <c r="B19" s="37" t="s">
        <v>65</v>
      </c>
      <c r="C19" s="38"/>
      <c r="D19" s="38">
        <v>3.9982244968414307</v>
      </c>
      <c r="E19" s="38">
        <v>5.1659870147705078</v>
      </c>
      <c r="F19" s="38">
        <v>4.8363480567932129</v>
      </c>
      <c r="G19" s="38">
        <v>5.0743660926818848</v>
      </c>
      <c r="H19" s="38">
        <v>4.7525620460510254</v>
      </c>
      <c r="I19" s="38">
        <v>4.5670027732849121</v>
      </c>
      <c r="J19" s="38">
        <v>5.2542834281921387</v>
      </c>
      <c r="K19" s="38">
        <v>5.3610892295837402</v>
      </c>
      <c r="L19" s="38">
        <v>4.7959260940551758</v>
      </c>
      <c r="M19" s="38">
        <v>3.5853514671325684</v>
      </c>
      <c r="N19" s="38">
        <v>3.2231481075286865</v>
      </c>
      <c r="O19" s="29">
        <f t="shared" si="0"/>
        <v>-0.19385514493371972</v>
      </c>
      <c r="P19" s="29">
        <f t="shared" si="1"/>
        <v>-0.38656752122759253</v>
      </c>
    </row>
    <row r="20" spans="1:16" ht="18" customHeight="1" x14ac:dyDescent="0.2">
      <c r="A20" s="196"/>
      <c r="B20" s="39" t="s">
        <v>28</v>
      </c>
      <c r="C20" s="40"/>
      <c r="D20" s="40">
        <f ca="1">1773*OFFSET(D$112,MATCH($N$1,$C$112:$C$113,0)-1,0)</f>
        <v>1773</v>
      </c>
      <c r="E20" s="40">
        <f ca="1">1503*OFFSET(E$112,MATCH($N$1,$C$112:$C$113,0)-1,0)</f>
        <v>1503</v>
      </c>
      <c r="F20" s="40">
        <f ca="1">1513*OFFSET(F$112,MATCH($N$1,$C$112:$C$113,0)-1,0)</f>
        <v>1513</v>
      </c>
      <c r="G20" s="40">
        <f ca="1">1654*OFFSET(G$112,MATCH($N$1,$C$112:$C$113,0)-1,0)</f>
        <v>1654</v>
      </c>
      <c r="H20" s="40">
        <f ca="1">1640*OFFSET(H$112,MATCH($N$1,$C$112:$C$113,0)-1,0)</f>
        <v>1640</v>
      </c>
      <c r="I20" s="40">
        <f ca="1">1738*OFFSET(I$112,MATCH($N$1,$C$112:$C$113,0)-1,0)</f>
        <v>1738</v>
      </c>
      <c r="J20" s="40">
        <f ca="1">1830*OFFSET(J$112,MATCH($N$1,$C$112:$C$113,0)-1,0)</f>
        <v>1830</v>
      </c>
      <c r="K20" s="40">
        <f ca="1">1781*OFFSET(K$112,MATCH($N$1,$C$112:$C$113,0)-1,0)</f>
        <v>1781</v>
      </c>
      <c r="L20" s="40">
        <f ca="1">1919*OFFSET(L$112,MATCH($N$1,$C$112:$C$113,0)-1,0)</f>
        <v>1919</v>
      </c>
      <c r="M20" s="40">
        <f ca="1">1617*OFFSET(M$112,MATCH($N$1,$C$112:$C$113,0)-1,0)</f>
        <v>1617</v>
      </c>
      <c r="N20" s="40">
        <v>1550</v>
      </c>
      <c r="O20" s="34">
        <f t="shared" ca="1" si="0"/>
        <v>-0.12577552171460801</v>
      </c>
      <c r="P20" s="34">
        <f t="shared" ca="1" si="1"/>
        <v>-0.15300546448087432</v>
      </c>
    </row>
    <row r="21" spans="1:16" ht="18" customHeight="1" x14ac:dyDescent="0.2">
      <c r="A21" s="197" t="s">
        <v>29</v>
      </c>
      <c r="B21" s="35" t="s">
        <v>66</v>
      </c>
      <c r="C21" s="41"/>
      <c r="D21" s="41">
        <v>8.4982661584921182</v>
      </c>
      <c r="E21" s="41">
        <v>11.529568433337364</v>
      </c>
      <c r="F21" s="41">
        <v>8.9154712208699785</v>
      </c>
      <c r="G21" s="41">
        <v>10.202824663731205</v>
      </c>
      <c r="H21" s="41">
        <v>9.4220250944414463</v>
      </c>
      <c r="I21" s="41">
        <v>9.8505721695795074</v>
      </c>
      <c r="J21" s="41">
        <v>8.5963399164467056</v>
      </c>
      <c r="K21" s="41">
        <v>10.872289145496374</v>
      </c>
      <c r="L21" s="41">
        <v>7.8430139853954017</v>
      </c>
      <c r="M21" s="41">
        <v>4.639421688043587</v>
      </c>
      <c r="N21" s="41">
        <v>3.9117745140868658</v>
      </c>
      <c r="O21" s="29">
        <f t="shared" si="0"/>
        <v>-0.53969734047716056</v>
      </c>
      <c r="P21" s="29">
        <f t="shared" si="1"/>
        <v>-0.54494883263017868</v>
      </c>
    </row>
    <row r="22" spans="1:16" ht="18" customHeight="1" x14ac:dyDescent="0.2">
      <c r="A22" s="197"/>
      <c r="B22" s="37" t="s">
        <v>67</v>
      </c>
      <c r="C22" s="38"/>
      <c r="D22" s="38">
        <f ca="1">15.0650011954736*OFFSET(D$112,MATCH($N$1,$C$112:$C$113,0)-1,0)</f>
        <v>15.065001195473601</v>
      </c>
      <c r="E22" s="38">
        <f ca="1">17.3247317325594*OFFSET(E$112,MATCH($N$1,$C$112:$C$113,0)-1,0)</f>
        <v>17.3247317325594</v>
      </c>
      <c r="F22" s="38">
        <f ca="1">13.4931410176402*OFFSET(F$112,MATCH($N$1,$C$112:$C$113,0)-1,0)</f>
        <v>13.4931410176402</v>
      </c>
      <c r="G22" s="38">
        <f ca="1">16.8752186467401*OFFSET(G$112,MATCH($N$1,$C$112:$C$113,0)-1,0)</f>
        <v>16.875218646740102</v>
      </c>
      <c r="H22" s="38">
        <f ca="1">15.448997301673*OFFSET(H$112,MATCH($N$1,$C$112:$C$113,0)-1,0)</f>
        <v>15.448997301673</v>
      </c>
      <c r="I22" s="38">
        <f ca="1">17.1186585578114*OFFSET(I$112,MATCH($N$1,$C$112:$C$113,0)-1,0)</f>
        <v>17.118658557811401</v>
      </c>
      <c r="J22" s="38">
        <f ca="1">15.7329353518699*OFFSET(J$112,MATCH($N$1,$C$112:$C$113,0)-1,0)</f>
        <v>15.7329353518699</v>
      </c>
      <c r="K22" s="38">
        <f ca="1">19.3679049326811*OFFSET(K$112,MATCH($N$1,$C$112:$C$113,0)-1,0)</f>
        <v>19.3679049326811</v>
      </c>
      <c r="L22" s="38">
        <f ca="1">15.0545992386148*OFFSET(L$112,MATCH($N$1,$C$112:$C$113,0)-1,0)</f>
        <v>15.0545992386148</v>
      </c>
      <c r="M22" s="38">
        <f ca="1">7.50190911237579*OFFSET(M$112,MATCH($N$1,$C$112:$C$113,0)-1,0)</f>
        <v>7.5019091123757899</v>
      </c>
      <c r="N22" s="38">
        <v>6.0627403110063458</v>
      </c>
      <c r="O22" s="29">
        <f t="shared" ca="1" si="0"/>
        <v>-0.59756124594082716</v>
      </c>
      <c r="P22" s="29">
        <f t="shared" ca="1" si="1"/>
        <v>-0.61464658848383469</v>
      </c>
    </row>
    <row r="23" spans="1:16" ht="18" customHeight="1" x14ac:dyDescent="0.2">
      <c r="A23" s="197"/>
      <c r="B23" s="37" t="s">
        <v>11</v>
      </c>
      <c r="C23" s="38"/>
      <c r="D23" s="38">
        <f ca="1">11.9308965245356*OFFSET(D$112,MATCH($N$1,$C$112:$C$113,0)-1,0)</f>
        <v>11.9308965245356</v>
      </c>
      <c r="E23" s="38">
        <f ca="1">15.8432838748811*OFFSET(E$112,MATCH($N$1,$C$112:$C$113,0)-1,0)</f>
        <v>15.8432838748811</v>
      </c>
      <c r="F23" s="38">
        <f ca="1">12.541526549018*OFFSET(F$112,MATCH($N$1,$C$112:$C$113,0)-1,0)</f>
        <v>12.541526549018</v>
      </c>
      <c r="G23" s="38">
        <f ca="1">14.0254835526943*OFFSET(G$112,MATCH($N$1,$C$112:$C$113,0)-1,0)</f>
        <v>14.0254835526943</v>
      </c>
      <c r="H23" s="38">
        <f ca="1">13.8743168915273*OFFSET(H$112,MATCH($N$1,$C$112:$C$113,0)-1,0)</f>
        <v>13.8743168915273</v>
      </c>
      <c r="I23" s="38">
        <f ca="1">14.3037555074348*OFFSET(I$112,MATCH($N$1,$C$112:$C$113,0)-1,0)</f>
        <v>14.303755507434801</v>
      </c>
      <c r="J23" s="38">
        <f ca="1">12.5259540642443*OFFSET(J$112,MATCH($N$1,$C$112:$C$113,0)-1,0)</f>
        <v>12.525954064244299</v>
      </c>
      <c r="K23" s="38">
        <f ca="1">15.0281966622632*OFFSET(K$112,MATCH($N$1,$C$112:$C$113,0)-1,0)</f>
        <v>15.0281966622632</v>
      </c>
      <c r="L23" s="38">
        <f ca="1">12.9965139603541*OFFSET(L$112,MATCH($N$1,$C$112:$C$113,0)-1,0)</f>
        <v>12.9965139603541</v>
      </c>
      <c r="M23" s="38">
        <f ca="1">7.76920996558905*OFFSET(M$112,MATCH($N$1,$C$112:$C$113,0)-1,0)</f>
        <v>7.7692099655890496</v>
      </c>
      <c r="N23" s="38">
        <v>6.7220152401317987</v>
      </c>
      <c r="O23" s="29">
        <f t="shared" ca="1" si="0"/>
        <v>-0.43658758364820804</v>
      </c>
      <c r="P23" s="29">
        <f t="shared" ca="1" si="1"/>
        <v>-0.46335303437524278</v>
      </c>
    </row>
    <row r="24" spans="1:16" ht="18" customHeight="1" x14ac:dyDescent="0.2">
      <c r="A24" s="197"/>
      <c r="B24" s="37" t="s">
        <v>12</v>
      </c>
      <c r="C24" s="38"/>
      <c r="D24" s="38">
        <f ca="1">3.51029637907456*OFFSET(D$112,MATCH($N$1,$C$112:$C$113,0)-1,0)</f>
        <v>3.51029637907456</v>
      </c>
      <c r="E24" s="38">
        <f ca="1">3.60699088364932*OFFSET(E$112,MATCH($N$1,$C$112:$C$113,0)-1,0)</f>
        <v>3.6069908836493201</v>
      </c>
      <c r="F24" s="38">
        <f ca="1">2.66759319254535*OFFSET(F$112,MATCH($N$1,$C$112:$C$113,0)-1,0)</f>
        <v>2.66759319254535</v>
      </c>
      <c r="G24" s="38">
        <f ca="1">4.39549407448528*OFFSET(G$112,MATCH($N$1,$C$112:$C$113,0)-1,0)</f>
        <v>4.3954940744852804</v>
      </c>
      <c r="H24" s="38">
        <f ca="1">3.86125418240691*OFFSET(H$112,MATCH($N$1,$C$112:$C$113,0)-1,0)</f>
        <v>3.8612541824069102</v>
      </c>
      <c r="I24" s="38">
        <f ca="1">4.05376937200739*OFFSET(I$112,MATCH($N$1,$C$112:$C$113,0)-1,0)</f>
        <v>4.0537693720073902</v>
      </c>
      <c r="J24" s="38">
        <f ca="1">4.34011252953191*OFFSET(J$112,MATCH($N$1,$C$112:$C$113,0)-1,0)</f>
        <v>4.3401125295319103</v>
      </c>
      <c r="K24" s="38">
        <f ca="1">5.42671172174844*OFFSET(K$112,MATCH($N$1,$C$112:$C$113,0)-1,0)</f>
        <v>5.4267117217484397</v>
      </c>
      <c r="L24" s="38">
        <f ca="1">2.34725719871919*OFFSET(L$112,MATCH($N$1,$C$112:$C$113,0)-1,0)</f>
        <v>2.3472571987191899</v>
      </c>
      <c r="M24" s="38">
        <f ca="1">0.214762555250628*OFFSET(M$112,MATCH($N$1,$C$112:$C$113,0)-1,0)</f>
        <v>0.21476255525062801</v>
      </c>
      <c r="N24" s="38">
        <v>-0.54282053934825869</v>
      </c>
      <c r="O24" s="29">
        <f t="shared" ca="1" si="0"/>
        <v>-1.1546366690243306</v>
      </c>
      <c r="P24" s="29">
        <f t="shared" ca="1" si="1"/>
        <v>-1.1250706141038243</v>
      </c>
    </row>
    <row r="25" spans="1:16" ht="18" customHeight="1" x14ac:dyDescent="0.2">
      <c r="A25" s="197"/>
      <c r="B25" s="37" t="s">
        <v>68</v>
      </c>
      <c r="C25" s="33"/>
      <c r="D25" s="33">
        <f ca="1">162.18*OFFSET(D$112,MATCH($N$1,$C$112:$C$113,0)-1,0)</f>
        <v>162.18</v>
      </c>
      <c r="E25" s="33">
        <f ca="1">210.18*OFFSET(E$112,MATCH($N$1,$C$112:$C$113,0)-1,0)</f>
        <v>210.18</v>
      </c>
      <c r="F25" s="33">
        <f ca="1">150.06*OFFSET(F$112,MATCH($N$1,$C$112:$C$113,0)-1,0)</f>
        <v>150.06</v>
      </c>
      <c r="G25" s="33">
        <f ca="1">178.3*OFFSET(G$112,MATCH($N$1,$C$112:$C$113,0)-1,0)</f>
        <v>178.3</v>
      </c>
      <c r="H25" s="33">
        <f ca="1">177.98*OFFSET(H$112,MATCH($N$1,$C$112:$C$113,0)-1,0)</f>
        <v>177.98</v>
      </c>
      <c r="I25" s="33">
        <f ca="1">139.97*OFFSET(I$112,MATCH($N$1,$C$112:$C$113,0)-1,0)</f>
        <v>139.97</v>
      </c>
      <c r="J25" s="33">
        <f ca="1">145.29*OFFSET(J$112,MATCH($N$1,$C$112:$C$113,0)-1,0)</f>
        <v>145.29</v>
      </c>
      <c r="K25" s="33">
        <f ca="1">200.23*OFFSET(K$112,MATCH($N$1,$C$112:$C$113,0)-1,0)</f>
        <v>200.23</v>
      </c>
      <c r="L25" s="33">
        <f ca="1">219.05*OFFSET(L$112,MATCH($N$1,$C$112:$C$113,0)-1,0)</f>
        <v>219.05</v>
      </c>
      <c r="M25" s="33">
        <f ca="1">156.01*OFFSET(M$112,MATCH($N$1,$C$112:$C$113,0)-1,0)</f>
        <v>156.01</v>
      </c>
      <c r="N25" s="33">
        <v>133.24</v>
      </c>
      <c r="O25" s="29">
        <f t="shared" ca="1" si="0"/>
        <v>-0.17844370452583547</v>
      </c>
      <c r="P25" s="29">
        <f t="shared" ca="1" si="1"/>
        <v>-8.2937573129602746E-2</v>
      </c>
    </row>
    <row r="26" spans="1:16" ht="18" customHeight="1" x14ac:dyDescent="0.2">
      <c r="A26" s="198"/>
      <c r="B26" s="37" t="s">
        <v>69</v>
      </c>
      <c r="C26" s="33"/>
      <c r="D26" s="33">
        <f ca="1">37.79*OFFSET(D$112,MATCH($N$1,$C$112:$C$113,0)-1,0)</f>
        <v>37.79</v>
      </c>
      <c r="E26" s="33">
        <f ca="1">43.77*OFFSET(E$112,MATCH($N$1,$C$112:$C$113,0)-1,0)</f>
        <v>43.77</v>
      </c>
      <c r="F26" s="33">
        <f ca="1">29.67*OFFSET(F$112,MATCH($N$1,$C$112:$C$113,0)-1,0)</f>
        <v>29.67</v>
      </c>
      <c r="G26" s="33">
        <f ca="1">46.44*OFFSET(G$112,MATCH($N$1,$C$112:$C$113,0)-1,0)</f>
        <v>46.44</v>
      </c>
      <c r="H26" s="33">
        <f ca="1">44.49*OFFSET(H$112,MATCH($N$1,$C$112:$C$113,0)-1,0)</f>
        <v>44.49</v>
      </c>
      <c r="I26" s="33">
        <f ca="1">33.15*OFFSET(I$112,MATCH($N$1,$C$112:$C$113,0)-1,0)</f>
        <v>33.15</v>
      </c>
      <c r="J26" s="33">
        <f ca="1">40.08*OFFSET(J$112,MATCH($N$1,$C$112:$C$113,0)-1,0)</f>
        <v>40.08</v>
      </c>
      <c r="K26" s="33">
        <f ca="1">56.1*OFFSET(K$112,MATCH($N$1,$C$112:$C$113,0)-1,0)</f>
        <v>56.1</v>
      </c>
      <c r="L26" s="33">
        <f ca="1">34.15*OFFSET(L$112,MATCH($N$1,$C$112:$C$113,0)-1,0)</f>
        <v>34.15</v>
      </c>
      <c r="M26" s="33">
        <f ca="1">4.47*OFFSET(M$112,MATCH($N$1,$C$112:$C$113,0)-1,0)</f>
        <v>4.47</v>
      </c>
      <c r="N26" s="33">
        <v>-11.93</v>
      </c>
      <c r="O26" s="34">
        <f t="shared" ca="1" si="0"/>
        <v>-1.3156919820058217</v>
      </c>
      <c r="P26" s="34">
        <f t="shared" ca="1" si="1"/>
        <v>-1.2976546906187625</v>
      </c>
    </row>
    <row r="27" spans="1:16" ht="18" customHeight="1" x14ac:dyDescent="0.2">
      <c r="A27" s="187" t="s">
        <v>30</v>
      </c>
      <c r="B27" s="35" t="s">
        <v>63</v>
      </c>
      <c r="C27" s="36"/>
      <c r="D27" s="36">
        <f ca="1">963.1*OFFSET(D$112,MATCH($N$1,$C$112:$C$113,0)-1,0)</f>
        <v>963.1</v>
      </c>
      <c r="E27" s="36">
        <f ca="1">929.7*OFFSET(E$112,MATCH($N$1,$C$112:$C$113,0)-1,0)</f>
        <v>929.7</v>
      </c>
      <c r="F27" s="36">
        <f ca="1">1032.9*OFFSET(F$112,MATCH($N$1,$C$112:$C$113,0)-1,0)</f>
        <v>1032.9000000000001</v>
      </c>
      <c r="G27" s="36">
        <f ca="1">1183*OFFSET(G$112,MATCH($N$1,$C$112:$C$113,0)-1,0)</f>
        <v>1183</v>
      </c>
      <c r="H27" s="36">
        <f ca="1">1118.2*OFFSET(H$112,MATCH($N$1,$C$112:$C$113,0)-1,0)</f>
        <v>1118.2</v>
      </c>
      <c r="I27" s="36">
        <f ca="1">1254*OFFSET(I$112,MATCH($N$1,$C$112:$C$113,0)-1,0)</f>
        <v>1254</v>
      </c>
      <c r="J27" s="36">
        <f ca="1">1530.1*OFFSET(J$112,MATCH($N$1,$C$112:$C$113,0)-1,0)</f>
        <v>1530.1</v>
      </c>
      <c r="K27" s="36">
        <f ca="1">1508.9*OFFSET(K$112,MATCH($N$1,$C$112:$C$113,0)-1,0)</f>
        <v>1508.9</v>
      </c>
      <c r="L27" s="36">
        <f ca="1">1808.3*OFFSET(L$112,MATCH($N$1,$C$112:$C$113,0)-1,0)</f>
        <v>1808.3</v>
      </c>
      <c r="M27" s="36">
        <f ca="1">1096.6*OFFSET(M$112,MATCH($N$1,$C$112:$C$113,0)-1,0)</f>
        <v>1096.5999999999999</v>
      </c>
      <c r="N27" s="36">
        <v>1001.7</v>
      </c>
      <c r="O27" s="29">
        <f t="shared" ca="1" si="0"/>
        <v>4.0078911847160233E-2</v>
      </c>
      <c r="P27" s="29">
        <f t="shared" ca="1" si="1"/>
        <v>-0.34533690608456957</v>
      </c>
    </row>
    <row r="28" spans="1:16" ht="18" customHeight="1" x14ac:dyDescent="0.2">
      <c r="A28" s="199"/>
      <c r="B28" s="37" t="s">
        <v>70</v>
      </c>
      <c r="C28" s="33"/>
      <c r="D28" s="33">
        <f ca="1">24*OFFSET(D$112,MATCH($N$1,$C$112:$C$113,0)-1,0)</f>
        <v>24</v>
      </c>
      <c r="E28" s="33">
        <f ca="1">114.1*OFFSET(E$112,MATCH($N$1,$C$112:$C$113,0)-1,0)</f>
        <v>114.1</v>
      </c>
      <c r="F28" s="33">
        <f ca="1">131.4*OFFSET(F$112,MATCH($N$1,$C$112:$C$113,0)-1,0)</f>
        <v>131.4</v>
      </c>
      <c r="G28" s="33">
        <f ca="1">108.4*OFFSET(G$112,MATCH($N$1,$C$112:$C$113,0)-1,0)</f>
        <v>108.4</v>
      </c>
      <c r="H28" s="33">
        <f ca="1">165.5*OFFSET(H$112,MATCH($N$1,$C$112:$C$113,0)-1,0)</f>
        <v>165.5</v>
      </c>
      <c r="I28" s="33">
        <f ca="1">90.8*OFFSET(I$112,MATCH($N$1,$C$112:$C$113,0)-1,0)</f>
        <v>90.8</v>
      </c>
      <c r="J28" s="33">
        <f ca="1">110.2*OFFSET(J$112,MATCH($N$1,$C$112:$C$113,0)-1,0)</f>
        <v>110.2</v>
      </c>
      <c r="K28" s="33">
        <f ca="1">84.7*OFFSET(K$112,MATCH($N$1,$C$112:$C$113,0)-1,0)</f>
        <v>84.7</v>
      </c>
      <c r="L28" s="33">
        <f ca="1">34.7*OFFSET(L$112,MATCH($N$1,$C$112:$C$113,0)-1,0)</f>
        <v>34.700000000000003</v>
      </c>
      <c r="M28" s="33">
        <f ca="1">70.5*OFFSET(M$112,MATCH($N$1,$C$112:$C$113,0)-1,0)</f>
        <v>70.5</v>
      </c>
      <c r="N28" s="33">
        <v>19.2</v>
      </c>
      <c r="O28" s="29">
        <f t="shared" ca="1" si="0"/>
        <v>-0.20000000000000004</v>
      </c>
      <c r="P28" s="29">
        <f t="shared" ca="1" si="1"/>
        <v>-0.82577132486388383</v>
      </c>
    </row>
    <row r="29" spans="1:16" ht="18" customHeight="1" x14ac:dyDescent="0.2">
      <c r="A29" s="199"/>
      <c r="B29" s="42" t="s">
        <v>71</v>
      </c>
      <c r="C29" s="43"/>
      <c r="D29" s="43">
        <f ca="1">987.1*OFFSET(D$112,MATCH($N$1,$C$112:$C$113,0)-1,0)</f>
        <v>987.1</v>
      </c>
      <c r="E29" s="43">
        <f ca="1">1043.8*OFFSET(E$112,MATCH($N$1,$C$112:$C$113,0)-1,0)</f>
        <v>1043.8</v>
      </c>
      <c r="F29" s="43">
        <f ca="1">1164.3*OFFSET(F$112,MATCH($N$1,$C$112:$C$113,0)-1,0)</f>
        <v>1164.3</v>
      </c>
      <c r="G29" s="43">
        <f ca="1">1291.3*OFFSET(G$112,MATCH($N$1,$C$112:$C$113,0)-1,0)</f>
        <v>1291.3</v>
      </c>
      <c r="H29" s="43">
        <f ca="1">1283.8*OFFSET(H$112,MATCH($N$1,$C$112:$C$113,0)-1,0)</f>
        <v>1283.8</v>
      </c>
      <c r="I29" s="43">
        <f ca="1">1344.7*OFFSET(I$112,MATCH($N$1,$C$112:$C$113,0)-1,0)</f>
        <v>1344.7</v>
      </c>
      <c r="J29" s="43">
        <f ca="1">1640.3*OFFSET(J$112,MATCH($N$1,$C$112:$C$113,0)-1,0)</f>
        <v>1640.3</v>
      </c>
      <c r="K29" s="43">
        <f ca="1">1593.6*OFFSET(K$112,MATCH($N$1,$C$112:$C$113,0)-1,0)</f>
        <v>1593.6</v>
      </c>
      <c r="L29" s="43">
        <f ca="1">1843*OFFSET(L$112,MATCH($N$1,$C$112:$C$113,0)-1,0)</f>
        <v>1843</v>
      </c>
      <c r="M29" s="43">
        <f ca="1">1167*OFFSET(M$112,MATCH($N$1,$C$112:$C$113,0)-1,0)</f>
        <v>1167</v>
      </c>
      <c r="N29" s="43">
        <v>1020.9</v>
      </c>
      <c r="O29" s="29">
        <f t="shared" ca="1" si="0"/>
        <v>3.424171816431968E-2</v>
      </c>
      <c r="P29" s="29">
        <f t="shared" ca="1" si="1"/>
        <v>-0.37761385112479423</v>
      </c>
    </row>
    <row r="30" spans="1:16" ht="18" customHeight="1" x14ac:dyDescent="0.2">
      <c r="A30" s="199"/>
      <c r="B30" s="37" t="s">
        <v>72</v>
      </c>
      <c r="C30" s="33"/>
      <c r="D30" s="33">
        <f ca="1">125.6*OFFSET(D$112,MATCH($N$1,$C$112:$C$113,0)-1,0)</f>
        <v>125.6</v>
      </c>
      <c r="E30" s="33">
        <f ca="1">110.4*OFFSET(E$112,MATCH($N$1,$C$112:$C$113,0)-1,0)</f>
        <v>110.4</v>
      </c>
      <c r="F30" s="33">
        <f ca="1">130.4*OFFSET(F$112,MATCH($N$1,$C$112:$C$113,0)-1,0)</f>
        <v>130.4</v>
      </c>
      <c r="G30" s="33">
        <f ca="1">115.7*OFFSET(G$112,MATCH($N$1,$C$112:$C$113,0)-1,0)</f>
        <v>115.7</v>
      </c>
      <c r="H30" s="33">
        <f ca="1">79.4*OFFSET(H$112,MATCH($N$1,$C$112:$C$113,0)-1,0)</f>
        <v>79.400000000000006</v>
      </c>
      <c r="I30" s="33">
        <f ca="1">84.5*OFFSET(I$112,MATCH($N$1,$C$112:$C$113,0)-1,0)</f>
        <v>84.5</v>
      </c>
      <c r="J30" s="33">
        <f ca="1">107.4*OFFSET(J$112,MATCH($N$1,$C$112:$C$113,0)-1,0)</f>
        <v>107.4</v>
      </c>
      <c r="K30" s="33">
        <f ca="1">125.6*OFFSET(K$112,MATCH($N$1,$C$112:$C$113,0)-1,0)</f>
        <v>125.6</v>
      </c>
      <c r="L30" s="33">
        <f ca="1">160.5*OFFSET(L$112,MATCH($N$1,$C$112:$C$113,0)-1,0)</f>
        <v>160.5</v>
      </c>
      <c r="M30" s="33">
        <f ca="1">111.1*OFFSET(M$112,MATCH($N$1,$C$112:$C$113,0)-1,0)</f>
        <v>111.1</v>
      </c>
      <c r="N30" s="33">
        <v>148.9</v>
      </c>
      <c r="O30" s="29">
        <f t="shared" ca="1" si="0"/>
        <v>0.18550955414012749</v>
      </c>
      <c r="P30" s="29">
        <f t="shared" ca="1" si="1"/>
        <v>0.38640595903165731</v>
      </c>
    </row>
    <row r="31" spans="1:16" ht="18" customHeight="1" x14ac:dyDescent="0.2">
      <c r="A31" s="199"/>
      <c r="B31" s="37" t="s">
        <v>73</v>
      </c>
      <c r="C31" s="33"/>
      <c r="D31" s="33">
        <f ca="1">212.3*OFFSET(D$112,MATCH($N$1,$C$112:$C$113,0)-1,0)</f>
        <v>212.3</v>
      </c>
      <c r="E31" s="33">
        <f ca="1">213.9*OFFSET(E$112,MATCH($N$1,$C$112:$C$113,0)-1,0)</f>
        <v>213.9</v>
      </c>
      <c r="F31" s="33">
        <f ca="1">309.5*OFFSET(F$112,MATCH($N$1,$C$112:$C$113,0)-1,0)</f>
        <v>309.5</v>
      </c>
      <c r="G31" s="33">
        <f ca="1">314.9*OFFSET(G$112,MATCH($N$1,$C$112:$C$113,0)-1,0)</f>
        <v>314.89999999999998</v>
      </c>
      <c r="H31" s="33">
        <f ca="1">289.5*OFFSET(H$112,MATCH($N$1,$C$112:$C$113,0)-1,0)</f>
        <v>289.5</v>
      </c>
      <c r="I31" s="33">
        <f ca="1">334.2*OFFSET(I$112,MATCH($N$1,$C$112:$C$113,0)-1,0)</f>
        <v>334.2</v>
      </c>
      <c r="J31" s="33">
        <f ca="1">423*OFFSET(J$112,MATCH($N$1,$C$112:$C$113,0)-1,0)</f>
        <v>423</v>
      </c>
      <c r="K31" s="33">
        <f ca="1">443*OFFSET(K$112,MATCH($N$1,$C$112:$C$113,0)-1,0)</f>
        <v>443</v>
      </c>
      <c r="L31" s="33">
        <f ca="1">462.3*OFFSET(L$112,MATCH($N$1,$C$112:$C$113,0)-1,0)</f>
        <v>462.3</v>
      </c>
      <c r="M31" s="33">
        <f ca="1">306.1*OFFSET(M$112,MATCH($N$1,$C$112:$C$113,0)-1,0)</f>
        <v>306.10000000000002</v>
      </c>
      <c r="N31" s="33">
        <v>229.9</v>
      </c>
      <c r="O31" s="29">
        <f t="shared" ca="1" si="0"/>
        <v>8.2901554404145053E-2</v>
      </c>
      <c r="P31" s="29">
        <f t="shared" ca="1" si="1"/>
        <v>-0.45650118203309692</v>
      </c>
    </row>
    <row r="32" spans="1:16" ht="18" customHeight="1" x14ac:dyDescent="0.2">
      <c r="A32" s="199"/>
      <c r="B32" s="37" t="s">
        <v>74</v>
      </c>
      <c r="C32" s="33"/>
      <c r="D32" s="33">
        <f ca="1">234.6*OFFSET(D$112,MATCH($N$1,$C$112:$C$113,0)-1,0)</f>
        <v>234.6</v>
      </c>
      <c r="E32" s="33">
        <f ca="1">342.3*OFFSET(E$112,MATCH($N$1,$C$112:$C$113,0)-1,0)</f>
        <v>342.3</v>
      </c>
      <c r="F32" s="33">
        <f ca="1">300.2*OFFSET(F$112,MATCH($N$1,$C$112:$C$113,0)-1,0)</f>
        <v>300.2</v>
      </c>
      <c r="G32" s="33">
        <f ca="1">319.7*OFFSET(G$112,MATCH($N$1,$C$112:$C$113,0)-1,0)</f>
        <v>319.7</v>
      </c>
      <c r="H32" s="33">
        <f ca="1">394.7*OFFSET(H$112,MATCH($N$1,$C$112:$C$113,0)-1,0)</f>
        <v>394.7</v>
      </c>
      <c r="I32" s="33">
        <f ca="1">385.9*OFFSET(I$112,MATCH($N$1,$C$112:$C$113,0)-1,0)</f>
        <v>385.9</v>
      </c>
      <c r="J32" s="33">
        <f ca="1">382.4*OFFSET(J$112,MATCH($N$1,$C$112:$C$113,0)-1,0)</f>
        <v>382.4</v>
      </c>
      <c r="K32" s="33">
        <f ca="1">344.2*OFFSET(K$112,MATCH($N$1,$C$112:$C$113,0)-1,0)</f>
        <v>344.2</v>
      </c>
      <c r="L32" s="33">
        <f ca="1">588.4*OFFSET(L$112,MATCH($N$1,$C$112:$C$113,0)-1,0)</f>
        <v>588.4</v>
      </c>
      <c r="M32" s="33">
        <f ca="1">307.7*OFFSET(M$112,MATCH($N$1,$C$112:$C$113,0)-1,0)</f>
        <v>307.7</v>
      </c>
      <c r="N32" s="33">
        <v>325.90000000000003</v>
      </c>
      <c r="O32" s="29">
        <f t="shared" ca="1" si="0"/>
        <v>0.38917306052855943</v>
      </c>
      <c r="P32" s="29">
        <f t="shared" ca="1" si="1"/>
        <v>-0.14775104602510447</v>
      </c>
    </row>
    <row r="33" spans="1:16" ht="18" customHeight="1" x14ac:dyDescent="0.2">
      <c r="A33" s="199"/>
      <c r="B33" s="37" t="s">
        <v>75</v>
      </c>
      <c r="C33" s="33"/>
      <c r="D33" s="33">
        <f ca="1">572.5*OFFSET(D$112,MATCH($N$1,$C$112:$C$113,0)-1,0)</f>
        <v>572.5</v>
      </c>
      <c r="E33" s="33">
        <f ca="1">666.6*OFFSET(E$112,MATCH($N$1,$C$112:$C$113,0)-1,0)</f>
        <v>666.6</v>
      </c>
      <c r="F33" s="33">
        <f ca="1">740.1*OFFSET(F$112,MATCH($N$1,$C$112:$C$113,0)-1,0)</f>
        <v>740.1</v>
      </c>
      <c r="G33" s="33">
        <f ca="1">750.3*OFFSET(G$112,MATCH($N$1,$C$112:$C$113,0)-1,0)</f>
        <v>750.3</v>
      </c>
      <c r="H33" s="33">
        <f ca="1">763.6*OFFSET(H$112,MATCH($N$1,$C$112:$C$113,0)-1,0)</f>
        <v>763.6</v>
      </c>
      <c r="I33" s="33">
        <f ca="1">804.6*OFFSET(I$112,MATCH($N$1,$C$112:$C$113,0)-1,0)</f>
        <v>804.6</v>
      </c>
      <c r="J33" s="33">
        <f ca="1">912.7*OFFSET(J$112,MATCH($N$1,$C$112:$C$113,0)-1,0)</f>
        <v>912.7</v>
      </c>
      <c r="K33" s="33">
        <f ca="1">912.7*OFFSET(K$112,MATCH($N$1,$C$112:$C$113,0)-1,0)</f>
        <v>912.7</v>
      </c>
      <c r="L33" s="33">
        <f ca="1">1211.1*OFFSET(L$112,MATCH($N$1,$C$112:$C$113,0)-1,0)</f>
        <v>1211.0999999999999</v>
      </c>
      <c r="M33" s="33">
        <f ca="1">724.9*OFFSET(M$112,MATCH($N$1,$C$112:$C$113,0)-1,0)</f>
        <v>724.9</v>
      </c>
      <c r="N33" s="33">
        <v>704.7</v>
      </c>
      <c r="O33" s="29">
        <f t="shared" ca="1" si="0"/>
        <v>0.23091703056768567</v>
      </c>
      <c r="P33" s="29">
        <f t="shared" ca="1" si="1"/>
        <v>-0.22789525583433767</v>
      </c>
    </row>
    <row r="34" spans="1:16" ht="18" customHeight="1" x14ac:dyDescent="0.2">
      <c r="A34" s="199"/>
      <c r="B34" s="37" t="s">
        <v>76</v>
      </c>
      <c r="C34" s="33"/>
      <c r="D34" s="33">
        <f ca="1">190.2*OFFSET(D$112,MATCH($N$1,$C$112:$C$113,0)-1,0)</f>
        <v>190.2</v>
      </c>
      <c r="E34" s="33">
        <f ca="1">183.6*OFFSET(E$112,MATCH($N$1,$C$112:$C$113,0)-1,0)</f>
        <v>183.6</v>
      </c>
      <c r="F34" s="33">
        <f ca="1">219.9*OFFSET(F$112,MATCH($N$1,$C$112:$C$113,0)-1,0)</f>
        <v>219.9</v>
      </c>
      <c r="G34" s="33">
        <f ca="1">232.9*OFFSET(G$112,MATCH($N$1,$C$112:$C$113,0)-1,0)</f>
        <v>232.9</v>
      </c>
      <c r="H34" s="33">
        <f ca="1">240.6*OFFSET(H$112,MATCH($N$1,$C$112:$C$113,0)-1,0)</f>
        <v>240.6</v>
      </c>
      <c r="I34" s="33">
        <f ca="1">243.2*OFFSET(I$112,MATCH($N$1,$C$112:$C$113,0)-1,0)</f>
        <v>243.2</v>
      </c>
      <c r="J34" s="33">
        <f ca="1">305.5*OFFSET(J$112,MATCH($N$1,$C$112:$C$113,0)-1,0)</f>
        <v>305.5</v>
      </c>
      <c r="K34" s="33">
        <f ca="1">258.1*OFFSET(K$112,MATCH($N$1,$C$112:$C$113,0)-1,0)</f>
        <v>258.10000000000002</v>
      </c>
      <c r="L34" s="33">
        <f ca="1">350*OFFSET(L$112,MATCH($N$1,$C$112:$C$113,0)-1,0)</f>
        <v>350</v>
      </c>
      <c r="M34" s="33">
        <f ca="1">410.7*OFFSET(M$112,MATCH($N$1,$C$112:$C$113,0)-1,0)</f>
        <v>410.7</v>
      </c>
      <c r="N34" s="33">
        <v>405.90000000000003</v>
      </c>
      <c r="O34" s="29">
        <f t="shared" ca="1" si="0"/>
        <v>1.1340694006309151</v>
      </c>
      <c r="P34" s="29">
        <f t="shared" ca="1" si="1"/>
        <v>0.32864157119476278</v>
      </c>
    </row>
    <row r="35" spans="1:16" ht="18" customHeight="1" x14ac:dyDescent="0.2">
      <c r="A35" s="199"/>
      <c r="B35" s="37" t="s">
        <v>77</v>
      </c>
      <c r="C35" s="33"/>
      <c r="D35" s="33">
        <f ca="1">762.7*OFFSET(D$112,MATCH($N$1,$C$112:$C$113,0)-1,0)</f>
        <v>762.7</v>
      </c>
      <c r="E35" s="33">
        <f ca="1">850.2*OFFSET(E$112,MATCH($N$1,$C$112:$C$113,0)-1,0)</f>
        <v>850.2</v>
      </c>
      <c r="F35" s="33">
        <f ca="1">960.1*OFFSET(F$112,MATCH($N$1,$C$112:$C$113,0)-1,0)</f>
        <v>960.1</v>
      </c>
      <c r="G35" s="33">
        <f ca="1">983.2*OFFSET(G$112,MATCH($N$1,$C$112:$C$113,0)-1,0)</f>
        <v>983.2</v>
      </c>
      <c r="H35" s="33">
        <f ca="1">1004.3*OFFSET(H$112,MATCH($N$1,$C$112:$C$113,0)-1,0)</f>
        <v>1004.3</v>
      </c>
      <c r="I35" s="33">
        <f ca="1">1047.8*OFFSET(I$112,MATCH($N$1,$C$112:$C$113,0)-1,0)</f>
        <v>1047.8</v>
      </c>
      <c r="J35" s="33">
        <f ca="1">1218.2*OFFSET(J$112,MATCH($N$1,$C$112:$C$113,0)-1,0)</f>
        <v>1218.2</v>
      </c>
      <c r="K35" s="33">
        <f ca="1">1170.8*OFFSET(K$112,MATCH($N$1,$C$112:$C$113,0)-1,0)</f>
        <v>1170.8</v>
      </c>
      <c r="L35" s="33">
        <f ca="1">1561.1*OFFSET(L$112,MATCH($N$1,$C$112:$C$113,0)-1,0)</f>
        <v>1561.1</v>
      </c>
      <c r="M35" s="33">
        <f ca="1">1135.6*OFFSET(M$112,MATCH($N$1,$C$112:$C$113,0)-1,0)</f>
        <v>1135.5999999999999</v>
      </c>
      <c r="N35" s="33">
        <v>1110.6000000000001</v>
      </c>
      <c r="O35" s="29">
        <f t="shared" ca="1" si="0"/>
        <v>0.45614265110790619</v>
      </c>
      <c r="P35" s="29">
        <f t="shared" ca="1" si="1"/>
        <v>-8.8327039894926865E-2</v>
      </c>
    </row>
    <row r="36" spans="1:16" ht="18" customHeight="1" x14ac:dyDescent="0.2">
      <c r="A36" s="199"/>
      <c r="B36" s="42" t="s">
        <v>78</v>
      </c>
      <c r="C36" s="43"/>
      <c r="D36" s="43">
        <f ca="1">436.7*OFFSET(D$112,MATCH($N$1,$C$112:$C$113,0)-1,0)</f>
        <v>436.7</v>
      </c>
      <c r="E36" s="43">
        <f ca="1">407.5*OFFSET(E$112,MATCH($N$1,$C$112:$C$113,0)-1,0)</f>
        <v>407.5</v>
      </c>
      <c r="F36" s="43">
        <f ca="1">513.7*OFFSET(F$112,MATCH($N$1,$C$112:$C$113,0)-1,0)</f>
        <v>513.70000000000005</v>
      </c>
      <c r="G36" s="43">
        <f ca="1">623*OFFSET(G$112,MATCH($N$1,$C$112:$C$113,0)-1,0)</f>
        <v>623</v>
      </c>
      <c r="H36" s="43">
        <f ca="1">569*OFFSET(H$112,MATCH($N$1,$C$112:$C$113,0)-1,0)</f>
        <v>569</v>
      </c>
      <c r="I36" s="43">
        <f ca="1">631.2*OFFSET(I$112,MATCH($N$1,$C$112:$C$113,0)-1,0)</f>
        <v>631.20000000000005</v>
      </c>
      <c r="J36" s="43">
        <f ca="1">845.1*OFFSET(J$112,MATCH($N$1,$C$112:$C$113,0)-1,0)</f>
        <v>845.1</v>
      </c>
      <c r="K36" s="43">
        <f ca="1">865.8*OFFSET(K$112,MATCH($N$1,$C$112:$C$113,0)-1,0)</f>
        <v>865.8</v>
      </c>
      <c r="L36" s="43">
        <f ca="1">744.2*OFFSET(L$112,MATCH($N$1,$C$112:$C$113,0)-1,0)</f>
        <v>744.2</v>
      </c>
      <c r="M36" s="43">
        <f ca="1">337.5*OFFSET(M$112,MATCH($N$1,$C$112:$C$113,0)-1,0)</f>
        <v>337.5</v>
      </c>
      <c r="N36" s="43">
        <v>140.19999999999999</v>
      </c>
      <c r="O36" s="29">
        <f t="shared" ca="1" si="0"/>
        <v>-0.67895580490038931</v>
      </c>
      <c r="P36" s="29">
        <f t="shared" ca="1" si="1"/>
        <v>-0.83410247308010899</v>
      </c>
    </row>
    <row r="37" spans="1:16" ht="18" customHeight="1" x14ac:dyDescent="0.2">
      <c r="A37" s="199"/>
      <c r="B37" s="42" t="s">
        <v>79</v>
      </c>
      <c r="C37" s="43"/>
      <c r="D37" s="43">
        <f ca="1">224.4*OFFSET(D$112,MATCH($N$1,$C$112:$C$113,0)-1,0)</f>
        <v>224.4</v>
      </c>
      <c r="E37" s="43">
        <f ca="1">193.6*OFFSET(E$112,MATCH($N$1,$C$112:$C$113,0)-1,0)</f>
        <v>193.6</v>
      </c>
      <c r="F37" s="43">
        <f ca="1">204.2*OFFSET(F$112,MATCH($N$1,$C$112:$C$113,0)-1,0)</f>
        <v>204.2</v>
      </c>
      <c r="G37" s="43">
        <f ca="1">308.1*OFFSET(G$112,MATCH($N$1,$C$112:$C$113,0)-1,0)</f>
        <v>308.10000000000002</v>
      </c>
      <c r="H37" s="43">
        <f ca="1">279.5*OFFSET(H$112,MATCH($N$1,$C$112:$C$113,0)-1,0)</f>
        <v>279.5</v>
      </c>
      <c r="I37" s="43">
        <f ca="1">297*OFFSET(I$112,MATCH($N$1,$C$112:$C$113,0)-1,0)</f>
        <v>297</v>
      </c>
      <c r="J37" s="43">
        <f ca="1">422.1*OFFSET(J$112,MATCH($N$1,$C$112:$C$113,0)-1,0)</f>
        <v>422.1</v>
      </c>
      <c r="K37" s="43">
        <f ca="1">422.8*OFFSET(K$112,MATCH($N$1,$C$112:$C$113,0)-1,0)</f>
        <v>422.8</v>
      </c>
      <c r="L37" s="43">
        <f ca="1">281.9*OFFSET(L$112,MATCH($N$1,$C$112:$C$113,0)-1,0)</f>
        <v>281.89999999999998</v>
      </c>
      <c r="M37" s="43">
        <f ca="1">31.4*OFFSET(M$112,MATCH($N$1,$C$112:$C$113,0)-1,0)</f>
        <v>31.4</v>
      </c>
      <c r="N37" s="43">
        <v>-89.7</v>
      </c>
      <c r="O37" s="29">
        <f t="shared" ca="1" si="0"/>
        <v>-1.3997326203208558</v>
      </c>
      <c r="P37" s="29">
        <f t="shared" ca="1" si="1"/>
        <v>-1.2125088841506753</v>
      </c>
    </row>
    <row r="38" spans="1:16" ht="18" customHeight="1" x14ac:dyDescent="0.2">
      <c r="A38" s="199"/>
      <c r="B38" s="37" t="s">
        <v>80</v>
      </c>
      <c r="C38" s="33"/>
      <c r="D38" s="33">
        <f ca="1">72*OFFSET(D$112,MATCH($N$1,$C$112:$C$113,0)-1,0)</f>
        <v>72</v>
      </c>
      <c r="E38" s="33">
        <f ca="1">67.1*OFFSET(E$112,MATCH($N$1,$C$112:$C$113,0)-1,0)</f>
        <v>67.099999999999994</v>
      </c>
      <c r="F38" s="33">
        <f ca="1">48.3*OFFSET(F$112,MATCH($N$1,$C$112:$C$113,0)-1,0)</f>
        <v>48.3</v>
      </c>
      <c r="G38" s="33">
        <f ca="1">76.4*OFFSET(G$112,MATCH($N$1,$C$112:$C$113,0)-1,0)</f>
        <v>76.400000000000006</v>
      </c>
      <c r="H38" s="33">
        <f ca="1">94.8*OFFSET(H$112,MATCH($N$1,$C$112:$C$113,0)-1,0)</f>
        <v>94.8</v>
      </c>
      <c r="I38" s="33">
        <f ca="1">92.6*OFFSET(I$112,MATCH($N$1,$C$112:$C$113,0)-1,0)</f>
        <v>92.6</v>
      </c>
      <c r="J38" s="33">
        <f ca="1">71.4*OFFSET(J$112,MATCH($N$1,$C$112:$C$113,0)-1,0)</f>
        <v>71.400000000000006</v>
      </c>
      <c r="K38" s="33">
        <f ca="1">68.6*OFFSET(K$112,MATCH($N$1,$C$112:$C$113,0)-1,0)</f>
        <v>68.599999999999994</v>
      </c>
      <c r="L38" s="33">
        <f ca="1">88.3*OFFSET(L$112,MATCH($N$1,$C$112:$C$113,0)-1,0)</f>
        <v>88.3</v>
      </c>
      <c r="M38" s="33">
        <f ca="1">76.9*OFFSET(M$112,MATCH($N$1,$C$112:$C$113,0)-1,0)</f>
        <v>76.900000000000006</v>
      </c>
      <c r="N38" s="33"/>
      <c r="O38" s="29" t="str">
        <f t="shared" si="0"/>
        <v/>
      </c>
      <c r="P38" s="29" t="str">
        <f t="shared" si="1"/>
        <v/>
      </c>
    </row>
    <row r="39" spans="1:16" ht="18" customHeight="1" x14ac:dyDescent="0.2">
      <c r="A39" s="199"/>
      <c r="B39" s="37" t="s">
        <v>81</v>
      </c>
      <c r="C39" s="33"/>
      <c r="D39" s="33">
        <f ca="1">17.3*OFFSET(D$112,MATCH($N$1,$C$112:$C$113,0)-1,0)</f>
        <v>17.3</v>
      </c>
      <c r="E39" s="33">
        <f ca="1">23.2*OFFSET(E$112,MATCH($N$1,$C$112:$C$113,0)-1,0)</f>
        <v>23.2</v>
      </c>
      <c r="F39" s="33">
        <f ca="1">12.4*OFFSET(F$112,MATCH($N$1,$C$112:$C$113,0)-1,0)</f>
        <v>12.4</v>
      </c>
      <c r="G39" s="33">
        <f ca="1">14.4*OFFSET(G$112,MATCH($N$1,$C$112:$C$113,0)-1,0)</f>
        <v>14.4</v>
      </c>
      <c r="H39" s="33">
        <f ca="1">11.9*OFFSET(H$112,MATCH($N$1,$C$112:$C$113,0)-1,0)</f>
        <v>11.9</v>
      </c>
      <c r="I39" s="33">
        <f ca="1">6*OFFSET(I$112,MATCH($N$1,$C$112:$C$113,0)-1,0)</f>
        <v>6</v>
      </c>
      <c r="J39" s="33">
        <f ca="1">19.4*OFFSET(J$112,MATCH($N$1,$C$112:$C$113,0)-1,0)</f>
        <v>19.399999999999999</v>
      </c>
      <c r="K39" s="33">
        <f ca="1">8.9*OFFSET(K$112,MATCH($N$1,$C$112:$C$113,0)-1,0)</f>
        <v>8.9</v>
      </c>
      <c r="L39" s="33">
        <f ca="1">32.9*OFFSET(L$112,MATCH($N$1,$C$112:$C$113,0)-1,0)</f>
        <v>32.9</v>
      </c>
      <c r="M39" s="33">
        <f ca="1">58.7*OFFSET(M$112,MATCH($N$1,$C$112:$C$113,0)-1,0)</f>
        <v>58.7</v>
      </c>
      <c r="N39" s="33"/>
      <c r="O39" s="29" t="str">
        <f t="shared" si="0"/>
        <v/>
      </c>
      <c r="P39" s="29" t="str">
        <f t="shared" si="1"/>
        <v/>
      </c>
    </row>
    <row r="40" spans="1:16" ht="18" customHeight="1" x14ac:dyDescent="0.2">
      <c r="A40" s="199"/>
      <c r="B40" s="37" t="s">
        <v>82</v>
      </c>
      <c r="C40" s="33"/>
      <c r="D40" s="33">
        <f ca="1">13.9*OFFSET(D$112,MATCH($N$1,$C$112:$C$113,0)-1,0)</f>
        <v>13.9</v>
      </c>
      <c r="E40" s="33">
        <f ca="1">9.6*OFFSET(E$112,MATCH($N$1,$C$112:$C$113,0)-1,0)</f>
        <v>9.6</v>
      </c>
      <c r="F40" s="33">
        <f ca="1">8*OFFSET(F$112,MATCH($N$1,$C$112:$C$113,0)-1,0)</f>
        <v>8</v>
      </c>
      <c r="G40" s="33">
        <f ca="1">3.6*OFFSET(G$112,MATCH($N$1,$C$112:$C$113,0)-1,0)</f>
        <v>3.6</v>
      </c>
      <c r="H40" s="33">
        <f ca="1">3.2*OFFSET(H$112,MATCH($N$1,$C$112:$C$113,0)-1,0)</f>
        <v>3.2</v>
      </c>
      <c r="I40" s="33">
        <f ca="1">8.2*OFFSET(I$112,MATCH($N$1,$C$112:$C$113,0)-1,0)</f>
        <v>8.1999999999999993</v>
      </c>
      <c r="J40" s="33">
        <f ca="1">8*OFFSET(J$112,MATCH($N$1,$C$112:$C$113,0)-1,0)</f>
        <v>8</v>
      </c>
      <c r="K40" s="33">
        <f ca="1">27.9*OFFSET(K$112,MATCH($N$1,$C$112:$C$113,0)-1,0)</f>
        <v>27.9</v>
      </c>
      <c r="L40" s="33">
        <f ca="1">1.5*OFFSET(L$112,MATCH($N$1,$C$112:$C$113,0)-1,0)</f>
        <v>1.5</v>
      </c>
      <c r="M40" s="33">
        <f ca="1">11.4*OFFSET(M$112,MATCH($N$1,$C$112:$C$113,0)-1,0)</f>
        <v>11.4</v>
      </c>
      <c r="N40" s="33"/>
      <c r="O40" s="29" t="str">
        <f t="shared" si="0"/>
        <v/>
      </c>
      <c r="P40" s="29" t="str">
        <f t="shared" si="1"/>
        <v/>
      </c>
    </row>
    <row r="41" spans="1:16" ht="18" customHeight="1" thickBot="1" x14ac:dyDescent="0.25">
      <c r="A41" s="200"/>
      <c r="B41" s="44" t="s">
        <v>83</v>
      </c>
      <c r="C41" s="45"/>
      <c r="D41" s="45">
        <f ca="1">121.2*OFFSET(D$112,MATCH($N$1,$C$112:$C$113,0)-1,0)</f>
        <v>121.2</v>
      </c>
      <c r="E41" s="45">
        <f ca="1">93.7*OFFSET(E$112,MATCH($N$1,$C$112:$C$113,0)-1,0)</f>
        <v>93.7</v>
      </c>
      <c r="F41" s="45">
        <f ca="1">135.6*OFFSET(F$112,MATCH($N$1,$C$112:$C$113,0)-1,0)</f>
        <v>135.6</v>
      </c>
      <c r="G41" s="45">
        <f ca="1">213.7*OFFSET(G$112,MATCH($N$1,$C$112:$C$113,0)-1,0)</f>
        <v>213.7</v>
      </c>
      <c r="H41" s="45">
        <f ca="1">169.6*OFFSET(H$112,MATCH($N$1,$C$112:$C$113,0)-1,0)</f>
        <v>169.6</v>
      </c>
      <c r="I41" s="45">
        <f ca="1">190.1*OFFSET(I$112,MATCH($N$1,$C$112:$C$113,0)-1,0)</f>
        <v>190.1</v>
      </c>
      <c r="J41" s="45">
        <f ca="1">323.3*OFFSET(J$112,MATCH($N$1,$C$112:$C$113,0)-1,0)</f>
        <v>323.3</v>
      </c>
      <c r="K41" s="45">
        <f ca="1">317.5*OFFSET(K$112,MATCH($N$1,$C$112:$C$113,0)-1,0)</f>
        <v>317.5</v>
      </c>
      <c r="L41" s="45">
        <f ca="1">159.3*OFFSET(L$112,MATCH($N$1,$C$112:$C$113,0)-1,0)</f>
        <v>159.30000000000001</v>
      </c>
      <c r="M41" s="45">
        <f ca="1">-116*OFFSET(M$112,MATCH($N$1,$C$112:$C$113,0)-1,0)</f>
        <v>-116</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21</v>
      </c>
      <c r="F46" s="94" t="s">
        <v>21</v>
      </c>
      <c r="G46" s="94" t="s">
        <v>21</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NSWOS demersal seiners</v>
      </c>
      <c r="C48" s="96"/>
      <c r="D48" s="96"/>
      <c r="E48" s="96"/>
      <c r="F48" s="96"/>
      <c r="G48" s="96"/>
      <c r="K48" s="96" t="str">
        <f>$B24&amp;CHAR(10)&amp;$A$1</f>
        <v>Operating profit per kW day at sea (£)
NSWOS demersal seiners</v>
      </c>
    </row>
    <row r="49" spans="1:11" s="82" customFormat="1" x14ac:dyDescent="0.2">
      <c r="A49" s="96" t="str">
        <f>$B22&amp;CHAR(10)&amp;$A$1</f>
        <v>Fishing income per kW day at sea (£)
NSWOS demersal seiners</v>
      </c>
    </row>
    <row r="50" spans="1:11" s="82" customFormat="1" x14ac:dyDescent="0.2">
      <c r="A50" s="96" t="str">
        <f>$B20&amp;CHAR(10)&amp;$A$1</f>
        <v>Average price per tonne landed (£)
NSWOS demersal seiners</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NSWOS demersal seiners</v>
      </c>
      <c r="F62" s="96" t="str">
        <f>$B20&amp;CHAR(10)&amp;$A$1</f>
        <v>Average price per tonne landed (£)
NSWOS demersal seiners</v>
      </c>
      <c r="K62" s="96" t="str">
        <f>"Average annual operating profit per vessel (£'000)"&amp;CHAR(10)&amp;$A$1</f>
        <v>Average annual operating profit per vessel (£'000)
NSWOS demersal seiners</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NSWOS demersal seiners</v>
      </c>
      <c r="F76" s="96" t="str">
        <f>"Top 5 landed species by value in "&amp;A77&amp;CHAR(10)&amp;A1</f>
        <v>Top 5 landed species by value in 2020
NSWOS demersal seiners</v>
      </c>
    </row>
    <row r="77" spans="1:11" s="96" customFormat="1" x14ac:dyDescent="0.2">
      <c r="A77" s="96">
        <v>2020</v>
      </c>
      <c r="B77" s="96" t="s">
        <v>342</v>
      </c>
      <c r="C77" s="97">
        <v>0.2539130171220193</v>
      </c>
      <c r="D77" s="98">
        <v>12153634</v>
      </c>
      <c r="G77" s="96" t="s">
        <v>343</v>
      </c>
      <c r="H77" s="97">
        <v>0.20181617740307944</v>
      </c>
      <c r="I77" s="98">
        <v>12153634</v>
      </c>
      <c r="K77" s="96" t="s">
        <v>87</v>
      </c>
    </row>
    <row r="78" spans="1:11" s="96" customFormat="1" x14ac:dyDescent="0.2">
      <c r="B78" s="96" t="s">
        <v>344</v>
      </c>
      <c r="C78" s="97">
        <v>0.19544650578445114</v>
      </c>
      <c r="D78" s="98">
        <v>553960</v>
      </c>
      <c r="G78" s="96" t="s">
        <v>345</v>
      </c>
      <c r="H78" s="97">
        <v>0.16003519417401887</v>
      </c>
      <c r="I78" s="98">
        <v>553960</v>
      </c>
    </row>
    <row r="79" spans="1:11" s="96" customFormat="1" x14ac:dyDescent="0.2">
      <c r="B79" s="96" t="s">
        <v>346</v>
      </c>
      <c r="C79" s="97">
        <v>0.10898119812510641</v>
      </c>
      <c r="D79" s="98">
        <v>11115023</v>
      </c>
      <c r="G79" s="96" t="s">
        <v>347</v>
      </c>
      <c r="H79" s="97">
        <v>0.13500573422655263</v>
      </c>
      <c r="I79" s="98">
        <v>3050596</v>
      </c>
    </row>
    <row r="80" spans="1:11" s="96" customFormat="1" x14ac:dyDescent="0.2">
      <c r="B80" s="96" t="s">
        <v>348</v>
      </c>
      <c r="C80" s="97">
        <v>7.9689723188295578E-2</v>
      </c>
      <c r="D80" s="98">
        <v>3050596</v>
      </c>
      <c r="G80" s="96" t="s">
        <v>349</v>
      </c>
      <c r="H80" s="97">
        <v>8.7665155633792846E-2</v>
      </c>
      <c r="I80" s="98">
        <v>1692097</v>
      </c>
    </row>
    <row r="81" spans="1:19" s="96" customFormat="1" x14ac:dyDescent="0.2">
      <c r="B81" s="96" t="s">
        <v>350</v>
      </c>
      <c r="C81" s="97">
        <v>5.643543719755896E-2</v>
      </c>
      <c r="D81" s="98">
        <v>3689192</v>
      </c>
      <c r="G81" s="96" t="s">
        <v>351</v>
      </c>
      <c r="H81" s="97">
        <v>7.0927594155139467E-2</v>
      </c>
      <c r="I81" s="98">
        <v>3689192</v>
      </c>
    </row>
    <row r="82" spans="1:19" s="96" customFormat="1" x14ac:dyDescent="0.2">
      <c r="B82" s="96" t="s">
        <v>352</v>
      </c>
      <c r="C82" s="97">
        <v>0.30553411858256863</v>
      </c>
      <c r="D82" s="98">
        <v>5920853</v>
      </c>
      <c r="G82" s="96" t="s">
        <v>353</v>
      </c>
      <c r="H82" s="97">
        <v>0.34455014440741671</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20</v>
      </c>
      <c r="D92" s="102">
        <v>0.39852493537864564</v>
      </c>
      <c r="E92" s="102">
        <v>0.33757213383115148</v>
      </c>
      <c r="F92" s="102">
        <v>0.36537246228181097</v>
      </c>
      <c r="G92" s="102">
        <v>0.37030308508093396</v>
      </c>
      <c r="H92" s="102">
        <v>0.28415675870703894</v>
      </c>
      <c r="I92" s="102">
        <v>0.25020052240820517</v>
      </c>
      <c r="J92" s="102">
        <v>0.30772383390297231</v>
      </c>
      <c r="K92" s="102">
        <v>0.24501059630773842</v>
      </c>
      <c r="L92" s="102">
        <v>0.20181617740307944</v>
      </c>
      <c r="M92" s="102">
        <v>0.1740619050937641</v>
      </c>
      <c r="O92" s="96">
        <v>12153634</v>
      </c>
    </row>
    <row r="93" spans="1:19" s="96" customFormat="1" hidden="1" x14ac:dyDescent="0.2">
      <c r="B93" s="96">
        <v>2</v>
      </c>
      <c r="C93" s="96" t="s">
        <v>126</v>
      </c>
      <c r="D93" s="102">
        <v>0.15821918303115096</v>
      </c>
      <c r="E93" s="102">
        <v>0.11575033247992132</v>
      </c>
      <c r="F93" s="102">
        <v>0.11159738637316681</v>
      </c>
      <c r="G93" s="102">
        <v>0.13706851638502218</v>
      </c>
      <c r="H93" s="102">
        <v>0.1305361736775586</v>
      </c>
      <c r="I93" s="102">
        <v>0.11855348182041203</v>
      </c>
      <c r="J93" s="102">
        <v>0.14755315363338437</v>
      </c>
      <c r="K93" s="102">
        <v>0.14871565047589705</v>
      </c>
      <c r="L93" s="102">
        <v>0.16003519417401887</v>
      </c>
      <c r="M93" s="102">
        <v>0.20632124316370345</v>
      </c>
      <c r="O93" s="96">
        <v>553960</v>
      </c>
    </row>
    <row r="94" spans="1:19" s="96" customFormat="1" hidden="1" x14ac:dyDescent="0.2">
      <c r="B94" s="96">
        <v>3</v>
      </c>
      <c r="C94" s="96" t="s">
        <v>98</v>
      </c>
      <c r="D94" s="102">
        <v>0.25914551665330687</v>
      </c>
      <c r="E94" s="102">
        <v>0.17013011637707243</v>
      </c>
      <c r="F94" s="102">
        <v>0.14226071779572208</v>
      </c>
      <c r="G94" s="102">
        <v>0.21145673080378574</v>
      </c>
      <c r="H94" s="102">
        <v>0.2447374754822042</v>
      </c>
      <c r="I94" s="102">
        <v>0.20560774165343132</v>
      </c>
      <c r="J94" s="102">
        <v>0.27120520210068022</v>
      </c>
      <c r="K94" s="102">
        <v>0.23114419305681619</v>
      </c>
      <c r="L94" s="102">
        <v>0.13500573422655263</v>
      </c>
      <c r="M94" s="102">
        <v>0.14841021848481914</v>
      </c>
      <c r="O94" s="96">
        <v>3050596</v>
      </c>
    </row>
    <row r="95" spans="1:19" s="96" customFormat="1" hidden="1" x14ac:dyDescent="0.2">
      <c r="B95" s="96">
        <v>4</v>
      </c>
      <c r="C95" s="96" t="s">
        <v>145</v>
      </c>
      <c r="D95" s="102"/>
      <c r="E95" s="102">
        <v>3.6310815532958944E-2</v>
      </c>
      <c r="F95" s="102"/>
      <c r="G95" s="102"/>
      <c r="H95" s="102"/>
      <c r="I95" s="102"/>
      <c r="J95" s="102"/>
      <c r="K95" s="102"/>
      <c r="L95" s="102">
        <v>8.7665155633792846E-2</v>
      </c>
      <c r="M95" s="102"/>
      <c r="O95" s="96">
        <v>1692097</v>
      </c>
    </row>
    <row r="96" spans="1:19" s="96" customFormat="1" hidden="1" x14ac:dyDescent="0.2">
      <c r="B96" s="96">
        <v>5</v>
      </c>
      <c r="C96" s="96" t="s">
        <v>178</v>
      </c>
      <c r="D96" s="102"/>
      <c r="E96" s="102"/>
      <c r="F96" s="102"/>
      <c r="G96" s="102"/>
      <c r="H96" s="102"/>
      <c r="I96" s="102"/>
      <c r="J96" s="102"/>
      <c r="K96" s="102"/>
      <c r="L96" s="102">
        <v>7.0927594155139467E-2</v>
      </c>
      <c r="M96" s="102"/>
      <c r="O96" s="96">
        <v>3689192</v>
      </c>
    </row>
    <row r="97" spans="1:15" s="96" customFormat="1" hidden="1" x14ac:dyDescent="0.2">
      <c r="B97" s="96">
        <v>6</v>
      </c>
      <c r="C97" s="96" t="s">
        <v>128</v>
      </c>
      <c r="D97" s="102">
        <v>3.9299332631036299E-2</v>
      </c>
      <c r="E97" s="102">
        <v>0.13379116124589549</v>
      </c>
      <c r="F97" s="102">
        <v>0.10885742833971571</v>
      </c>
      <c r="G97" s="102">
        <v>6.0072866403013021E-2</v>
      </c>
      <c r="H97" s="102">
        <v>5.4079495992379177E-2</v>
      </c>
      <c r="I97" s="102">
        <v>0.10166378571632777</v>
      </c>
      <c r="J97" s="102"/>
      <c r="K97" s="102">
        <v>4.6970153386238542E-2</v>
      </c>
      <c r="L97" s="102"/>
      <c r="M97" s="102">
        <v>8.74496657567609E-2</v>
      </c>
      <c r="O97" s="96">
        <v>11115023</v>
      </c>
    </row>
    <row r="98" spans="1:15" s="96" customFormat="1" hidden="1" x14ac:dyDescent="0.2">
      <c r="B98" s="96">
        <v>7</v>
      </c>
      <c r="C98" s="96" t="s">
        <v>99</v>
      </c>
      <c r="D98" s="102"/>
      <c r="E98" s="102"/>
      <c r="F98" s="102"/>
      <c r="G98" s="102"/>
      <c r="H98" s="102"/>
      <c r="I98" s="102"/>
      <c r="J98" s="102">
        <v>9.0871244730008238E-2</v>
      </c>
      <c r="K98" s="102">
        <v>9.8433443113024502E-2</v>
      </c>
      <c r="L98" s="102"/>
      <c r="M98" s="102">
        <v>6.9001980806315769E-2</v>
      </c>
      <c r="O98" s="96">
        <v>2480382</v>
      </c>
    </row>
    <row r="99" spans="1:15" s="96" customFormat="1" hidden="1" x14ac:dyDescent="0.2">
      <c r="B99" s="96">
        <v>8</v>
      </c>
      <c r="C99" s="96" t="s">
        <v>143</v>
      </c>
      <c r="D99" s="102"/>
      <c r="E99" s="102"/>
      <c r="F99" s="102"/>
      <c r="G99" s="102"/>
      <c r="H99" s="102">
        <v>4.6560879221878439E-2</v>
      </c>
      <c r="I99" s="102"/>
      <c r="J99" s="102">
        <v>3.9365104364128045E-2</v>
      </c>
      <c r="K99" s="102"/>
      <c r="L99" s="102"/>
      <c r="M99" s="102"/>
      <c r="O99" s="96">
        <v>7434864</v>
      </c>
    </row>
    <row r="100" spans="1:15" s="96" customFormat="1" hidden="1" x14ac:dyDescent="0.2">
      <c r="B100" s="96">
        <v>9</v>
      </c>
      <c r="C100" s="96" t="s">
        <v>145</v>
      </c>
      <c r="D100" s="102"/>
      <c r="E100" s="102"/>
      <c r="F100" s="102">
        <v>6.2816203319949748E-2</v>
      </c>
      <c r="G100" s="102">
        <v>3.3581266061603665E-2</v>
      </c>
      <c r="H100" s="102"/>
      <c r="I100" s="102">
        <v>7.1005936652375909E-2</v>
      </c>
      <c r="J100" s="102"/>
      <c r="K100" s="102"/>
      <c r="L100" s="102"/>
      <c r="M100" s="102"/>
      <c r="O100" s="96">
        <v>8497745</v>
      </c>
    </row>
    <row r="101" spans="1:15" s="96" customFormat="1" hidden="1" x14ac:dyDescent="0.2">
      <c r="B101" s="96">
        <v>10</v>
      </c>
      <c r="C101" s="96" t="s">
        <v>175</v>
      </c>
      <c r="D101" s="102">
        <v>4.2995540649766316E-2</v>
      </c>
      <c r="E101" s="102"/>
      <c r="F101" s="102"/>
      <c r="G101" s="102"/>
      <c r="H101" s="102"/>
      <c r="I101" s="102"/>
      <c r="J101" s="102"/>
      <c r="K101" s="102"/>
      <c r="L101" s="102"/>
      <c r="M101" s="102"/>
      <c r="O101" s="96">
        <v>14393110</v>
      </c>
    </row>
    <row r="102" spans="1:15" s="96" customFormat="1" hidden="1" x14ac:dyDescent="0.2">
      <c r="B102" s="96">
        <v>11</v>
      </c>
      <c r="C102" s="96" t="s">
        <v>107</v>
      </c>
      <c r="D102" s="102">
        <v>0.10181549165609387</v>
      </c>
      <c r="E102" s="102">
        <v>0.20644544053300032</v>
      </c>
      <c r="F102" s="102">
        <v>0.20909580188963464</v>
      </c>
      <c r="G102" s="102">
        <v>0.18751753526564144</v>
      </c>
      <c r="H102" s="102">
        <v>0.23992921691894062</v>
      </c>
      <c r="I102" s="102">
        <v>0.25296853174924777</v>
      </c>
      <c r="J102" s="102">
        <v>0.14328146126882682</v>
      </c>
      <c r="K102" s="102">
        <v>0.22972596366028528</v>
      </c>
      <c r="L102" s="102">
        <v>0.34455014440741677</v>
      </c>
      <c r="M102" s="102">
        <v>0.31475498669463664</v>
      </c>
      <c r="O102" s="96">
        <v>5920853</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12</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t="s">
        <v>108</v>
      </c>
      <c r="D120" s="56">
        <v>6</v>
      </c>
      <c r="E120" s="56" t="s">
        <v>108</v>
      </c>
      <c r="F120" s="57">
        <v>21</v>
      </c>
    </row>
    <row r="121" spans="1:15" ht="18" customHeight="1" x14ac:dyDescent="0.2">
      <c r="A121" s="194" t="s">
        <v>27</v>
      </c>
      <c r="B121" s="35" t="s">
        <v>62</v>
      </c>
      <c r="C121" s="58"/>
      <c r="D121" s="58">
        <v>25.46833324432373</v>
      </c>
      <c r="E121" s="58"/>
      <c r="F121" s="59">
        <v>27.861904144287109</v>
      </c>
    </row>
    <row r="122" spans="1:15" ht="18" customHeight="1" x14ac:dyDescent="0.2">
      <c r="A122" s="195"/>
      <c r="B122" s="37" t="s">
        <v>55</v>
      </c>
      <c r="C122" s="60"/>
      <c r="D122" s="60">
        <v>498.66667175292969</v>
      </c>
      <c r="E122" s="60"/>
      <c r="F122" s="61">
        <v>701</v>
      </c>
    </row>
    <row r="123" spans="1:15" ht="18" customHeight="1" x14ac:dyDescent="0.2">
      <c r="A123" s="195"/>
      <c r="B123" s="37" t="s">
        <v>56</v>
      </c>
      <c r="C123" s="60"/>
      <c r="D123" s="60">
        <v>219.83332824707031</v>
      </c>
      <c r="E123" s="60"/>
      <c r="F123" s="61">
        <v>304.76190185546875</v>
      </c>
    </row>
    <row r="124" spans="1:15" ht="18" customHeight="1" x14ac:dyDescent="0.2">
      <c r="A124" s="195"/>
      <c r="B124" s="37" t="s">
        <v>57</v>
      </c>
      <c r="C124" s="60"/>
      <c r="D124" s="60">
        <v>414.74032592773438</v>
      </c>
      <c r="E124" s="60"/>
      <c r="F124" s="61">
        <v>505.52340698242188</v>
      </c>
    </row>
    <row r="125" spans="1:15" ht="18" customHeight="1" x14ac:dyDescent="0.2">
      <c r="A125" s="195"/>
      <c r="B125" s="37" t="s">
        <v>58</v>
      </c>
      <c r="C125" s="33"/>
      <c r="D125" s="33">
        <v>1034.4124755859375</v>
      </c>
      <c r="E125" s="33"/>
      <c r="F125" s="62">
        <v>678.14361572265625</v>
      </c>
    </row>
    <row r="126" spans="1:15" ht="18" customHeight="1" x14ac:dyDescent="0.2">
      <c r="A126" s="195"/>
      <c r="B126" s="37" t="s">
        <v>63</v>
      </c>
      <c r="C126" s="33"/>
      <c r="D126" s="33">
        <f ca="1">1729.7965625*OFFSET($L$112,MATCH($N$1,$C$112:$C$113,0)-1,0)</f>
        <v>1729.7965624999999</v>
      </c>
      <c r="E126" s="33"/>
      <c r="F126" s="62">
        <f ca="1">1096.553*OFFSET($L$112,MATCH($N$1,$C$112:$C$113,0)-1,0)</f>
        <v>1096.5530000000001</v>
      </c>
    </row>
    <row r="127" spans="1:15" ht="18" customHeight="1" x14ac:dyDescent="0.2">
      <c r="A127" s="195"/>
      <c r="B127" s="37" t="s">
        <v>60</v>
      </c>
      <c r="C127" s="60"/>
      <c r="D127" s="60">
        <v>192.83333587646484</v>
      </c>
      <c r="E127" s="60"/>
      <c r="F127" s="61">
        <v>189.14285278320313</v>
      </c>
    </row>
    <row r="128" spans="1:15" ht="18" customHeight="1" x14ac:dyDescent="0.2">
      <c r="A128" s="195"/>
      <c r="B128" s="37" t="s">
        <v>64</v>
      </c>
      <c r="C128" s="60"/>
      <c r="D128" s="60">
        <v>20.333333492279053</v>
      </c>
      <c r="E128" s="60"/>
      <c r="F128" s="61">
        <v>14.277777671813965</v>
      </c>
    </row>
    <row r="129" spans="1:15" ht="18" customHeight="1" x14ac:dyDescent="0.2">
      <c r="A129" s="195"/>
      <c r="B129" s="37" t="s">
        <v>65</v>
      </c>
      <c r="C129" s="63"/>
      <c r="D129" s="63">
        <v>5.3642824301323859</v>
      </c>
      <c r="E129" s="63"/>
      <c r="F129" s="64">
        <v>3.5853514671325684</v>
      </c>
    </row>
    <row r="130" spans="1:15" ht="18" customHeight="1" x14ac:dyDescent="0.2">
      <c r="A130" s="196"/>
      <c r="B130" s="39" t="s">
        <v>28</v>
      </c>
      <c r="C130" s="40"/>
      <c r="D130" s="40">
        <f ca="1">1672.25029021442*OFFSET($L$112,MATCH($N$1,$C$112:$C$113,0)-1,0)</f>
        <v>1672.2502902144199</v>
      </c>
      <c r="E130" s="40"/>
      <c r="F130" s="65">
        <f ca="1">1617*OFFSET($L$112,MATCH($N$1,$C$112:$C$113,0)-1,0)</f>
        <v>1617</v>
      </c>
    </row>
    <row r="131" spans="1:15" ht="18" customHeight="1" x14ac:dyDescent="0.2">
      <c r="A131" s="205" t="s">
        <v>29</v>
      </c>
      <c r="B131" s="35" t="s">
        <v>66</v>
      </c>
      <c r="C131" s="66"/>
      <c r="D131" s="66">
        <v>10.708166875154292</v>
      </c>
      <c r="E131" s="66"/>
      <c r="F131" s="67">
        <v>4.639421688043587</v>
      </c>
    </row>
    <row r="132" spans="1:15" ht="18" customHeight="1" x14ac:dyDescent="0.2">
      <c r="A132" s="206"/>
      <c r="B132" s="37" t="s">
        <v>67</v>
      </c>
      <c r="C132" s="63"/>
      <c r="D132" s="63">
        <f ca="1">17.9067351646412*OFFSET($L$112,MATCH($N$1,$C$112:$C$113,0)-1,0)</f>
        <v>17.906735164641201</v>
      </c>
      <c r="E132" s="63"/>
      <c r="F132" s="64">
        <f ca="1">7.50190911237579*OFFSET($L$112,MATCH($N$1,$C$112:$C$113,0)-1,0)</f>
        <v>7.5019091123757899</v>
      </c>
    </row>
    <row r="133" spans="1:15" ht="18" customHeight="1" x14ac:dyDescent="0.2">
      <c r="A133" s="206"/>
      <c r="B133" s="37" t="s">
        <v>11</v>
      </c>
      <c r="C133" s="63"/>
      <c r="D133" s="63">
        <f ca="1">15.099293339159*OFFSET($L$112,MATCH($N$1,$C$112:$C$113,0)-1,0)</f>
        <v>15.099293339159001</v>
      </c>
      <c r="E133" s="63"/>
      <c r="F133" s="64">
        <f ca="1">7.28714655712516*OFFSET($L$112,MATCH($N$1,$C$112:$C$113,0)-1,0)</f>
        <v>7.2871465571251601</v>
      </c>
    </row>
    <row r="134" spans="1:15" ht="18" customHeight="1" x14ac:dyDescent="0.2">
      <c r="A134" s="207"/>
      <c r="B134" s="39" t="s">
        <v>12</v>
      </c>
      <c r="C134" s="68"/>
      <c r="D134" s="68">
        <f ca="1">2.80744182548221*OFFSET($L$112,MATCH($N$1,$C$112:$C$113,0)-1,0)</f>
        <v>2.80744182548221</v>
      </c>
      <c r="E134" s="68"/>
      <c r="F134" s="69">
        <f ca="1">0.214762555250628*OFFSET($L$112,MATCH($N$1,$C$112:$C$113,0)-1,0)</f>
        <v>0.21476255525062801</v>
      </c>
    </row>
    <row r="135" spans="1:15" ht="18" customHeight="1" x14ac:dyDescent="0.2">
      <c r="A135" s="208" t="s">
        <v>49</v>
      </c>
      <c r="B135" s="37" t="s">
        <v>109</v>
      </c>
      <c r="C135" s="70"/>
      <c r="D135" s="70">
        <f ca="1">151.9986328125*OFFSET($L$112,MATCH($N$1,$C$112:$C$113,0)-1,0)</f>
        <v>151.99863281250001</v>
      </c>
      <c r="E135" s="70"/>
      <c r="F135" s="71">
        <f ca="1">111.0538515625*OFFSET($L$112,MATCH($N$1,$C$112:$C$113,0)-1,0)</f>
        <v>111.0538515625</v>
      </c>
    </row>
    <row r="136" spans="1:15" ht="18" customHeight="1" x14ac:dyDescent="0.2">
      <c r="A136" s="209"/>
      <c r="B136" s="37" t="s">
        <v>110</v>
      </c>
      <c r="C136" s="31"/>
      <c r="D136" s="31">
        <v>292108.33809503261</v>
      </c>
      <c r="E136" s="31"/>
      <c r="F136" s="72">
        <v>300133.33333333331</v>
      </c>
    </row>
    <row r="137" spans="1:15" ht="18" customHeight="1" x14ac:dyDescent="0.2">
      <c r="A137" s="209"/>
      <c r="B137" s="37" t="s">
        <v>111</v>
      </c>
      <c r="C137" s="31"/>
      <c r="D137" s="31">
        <v>1514.8228223473066</v>
      </c>
      <c r="E137" s="31"/>
      <c r="F137" s="72">
        <v>1586.8076171875</v>
      </c>
    </row>
    <row r="138" spans="1:15" ht="18" customHeight="1" x14ac:dyDescent="0.2">
      <c r="A138" s="209"/>
      <c r="B138" s="37" t="s">
        <v>112</v>
      </c>
      <c r="C138" s="31"/>
      <c r="D138" s="31">
        <f ca="1">788.238362011614*OFFSET($L$112,MATCH($N$1,$C$112:$C$113,0)-1,0)</f>
        <v>788.23836201161396</v>
      </c>
      <c r="E138" s="31"/>
      <c r="F138" s="72">
        <f ca="1">587.142733274678*OFFSET($L$112,MATCH($N$1,$C$112:$C$113,0)-1,0)</f>
        <v>587.14273327467799</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c r="D139" s="31">
        <f ca="1">146.941994997113*OFFSET($L$112,MATCH($N$1,$C$112:$C$113,0)-1,0)</f>
        <v>146.941994997113</v>
      </c>
      <c r="E139" s="31"/>
      <c r="F139" s="72">
        <f ca="1">163.761552844756*OFFSET($L$112,MATCH($N$1,$C$112:$C$113,0)-1,0)</f>
        <v>163.76155284475601</v>
      </c>
      <c r="I139" s="48"/>
      <c r="K139" s="73" t="s">
        <v>114</v>
      </c>
      <c r="L139" s="74">
        <f t="shared" ref="L139:M141" si="2">C140</f>
        <v>0</v>
      </c>
      <c r="M139" s="74">
        <f t="shared" ca="1" si="2"/>
        <v>1763.0228125000001</v>
      </c>
      <c r="N139" s="74">
        <f>E140</f>
        <v>0</v>
      </c>
      <c r="O139" s="74"/>
    </row>
    <row r="140" spans="1:15" ht="18" customHeight="1" x14ac:dyDescent="0.2">
      <c r="A140" s="187" t="s">
        <v>50</v>
      </c>
      <c r="B140" s="35" t="s">
        <v>115</v>
      </c>
      <c r="C140" s="75"/>
      <c r="D140" s="75">
        <f ca="1">1763.0228125*OFFSET($L$112,MATCH($N$1,$C$112:$C$113,0)-1,0)</f>
        <v>1763.0228125000001</v>
      </c>
      <c r="E140" s="75"/>
      <c r="F140" s="76">
        <f ca="1">1167.016125*OFFSET($L$112,MATCH($N$1,$C$112:$C$113,0)-1,0)</f>
        <v>1167.0161250000001</v>
      </c>
      <c r="I140" s="48"/>
      <c r="K140" s="73" t="s">
        <v>116</v>
      </c>
      <c r="L140" s="74">
        <f t="shared" si="2"/>
        <v>0</v>
      </c>
      <c r="M140" s="74">
        <f t="shared" ca="1" si="2"/>
        <v>1491.8230000000001</v>
      </c>
      <c r="N140" s="74">
        <f>E141</f>
        <v>0</v>
      </c>
      <c r="O140" s="74"/>
    </row>
    <row r="141" spans="1:15" ht="18" customHeight="1" x14ac:dyDescent="0.2">
      <c r="A141" s="188"/>
      <c r="B141" s="37" t="s">
        <v>117</v>
      </c>
      <c r="C141" s="31"/>
      <c r="D141" s="31">
        <f ca="1">1491.823*OFFSET($L$112,MATCH($N$1,$C$112:$C$113,0)-1,0)</f>
        <v>1491.8230000000001</v>
      </c>
      <c r="E141" s="31"/>
      <c r="F141" s="72">
        <f ca="1">1135.624375*OFFSET($L$112,MATCH($N$1,$C$112:$C$113,0)-1,0)</f>
        <v>1135.6243750000001</v>
      </c>
      <c r="I141" s="48"/>
      <c r="K141" s="73" t="s">
        <v>118</v>
      </c>
      <c r="L141" s="74">
        <f t="shared" si="2"/>
        <v>0</v>
      </c>
      <c r="M141" s="74">
        <f t="shared" ca="1" si="2"/>
        <v>271.19981250000001</v>
      </c>
      <c r="N141" s="74">
        <f>E142</f>
        <v>0</v>
      </c>
      <c r="O141" s="74"/>
    </row>
    <row r="142" spans="1:15" ht="18" customHeight="1" x14ac:dyDescent="0.2">
      <c r="A142" s="189"/>
      <c r="B142" s="39" t="s">
        <v>119</v>
      </c>
      <c r="C142" s="40"/>
      <c r="D142" s="40">
        <f ca="1">271.1998125*OFFSET($L$112,MATCH($N$1,$C$112:$C$113,0)-1,0)</f>
        <v>271.19981250000001</v>
      </c>
      <c r="E142" s="40"/>
      <c r="F142" s="65">
        <f ca="1">31.3918125*OFFSET($L$112,MATCH($N$1,$C$112:$C$113,0)-1,0)</f>
        <v>31.3918125</v>
      </c>
      <c r="I142" s="48"/>
      <c r="K142" s="73" t="s">
        <v>120</v>
      </c>
      <c r="L142" s="77" t="str">
        <f>IFERROR(L140/L$139,"")</f>
        <v/>
      </c>
      <c r="M142" s="77">
        <f t="shared" ref="M142:N143" ca="1" si="3">IFERROR(M140/M$139,"")</f>
        <v>0.84617339572853656</v>
      </c>
      <c r="N142" s="77" t="str">
        <f t="shared" si="3"/>
        <v/>
      </c>
      <c r="O142" s="77"/>
    </row>
    <row r="143" spans="1:15" ht="18" customHeight="1" x14ac:dyDescent="0.2">
      <c r="I143" s="48"/>
      <c r="K143" s="73" t="s">
        <v>121</v>
      </c>
      <c r="L143" s="77" t="str">
        <f>IFERROR(L141/L$139,"")</f>
        <v/>
      </c>
      <c r="M143" s="77">
        <f t="shared" ca="1" si="3"/>
        <v>0.15382660427146344</v>
      </c>
      <c r="N143" s="77" t="str">
        <f t="shared" si="3"/>
        <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10</v>
      </c>
      <c r="B161" s="53"/>
      <c r="C161" s="78" t="s">
        <v>45</v>
      </c>
      <c r="D161" s="78" t="s">
        <v>122</v>
      </c>
      <c r="E161" s="78" t="s">
        <v>47</v>
      </c>
      <c r="F161" s="78" t="s">
        <v>123</v>
      </c>
      <c r="G161" s="79">
        <v>10</v>
      </c>
      <c r="H161" s="78"/>
      <c r="I161" s="78" t="s">
        <v>45</v>
      </c>
      <c r="J161" s="78" t="s">
        <v>122</v>
      </c>
      <c r="K161" s="78" t="s">
        <v>47</v>
      </c>
      <c r="L161" s="53" t="s">
        <v>123</v>
      </c>
      <c r="R161" s="21"/>
      <c r="S161" s="21"/>
    </row>
    <row r="162" spans="1:19" s="48" customFormat="1" x14ac:dyDescent="0.2">
      <c r="A162" s="49">
        <v>1</v>
      </c>
      <c r="B162" s="53" t="s">
        <v>126</v>
      </c>
      <c r="C162" s="53">
        <v>0</v>
      </c>
      <c r="D162" s="53">
        <v>0.23000172120291368</v>
      </c>
      <c r="E162" s="53">
        <v>0</v>
      </c>
      <c r="F162" s="49">
        <v>553960</v>
      </c>
      <c r="G162" s="49">
        <v>1</v>
      </c>
      <c r="H162" s="53" t="s">
        <v>20</v>
      </c>
      <c r="I162" s="53">
        <v>0</v>
      </c>
      <c r="J162" s="53">
        <v>0.16043769548081419</v>
      </c>
      <c r="K162" s="53">
        <v>0</v>
      </c>
      <c r="L162" s="49">
        <v>12153634</v>
      </c>
      <c r="R162" s="21"/>
      <c r="S162" s="21"/>
    </row>
    <row r="163" spans="1:19" s="48" customFormat="1" x14ac:dyDescent="0.2">
      <c r="A163" s="49">
        <v>2</v>
      </c>
      <c r="B163" s="53" t="s">
        <v>20</v>
      </c>
      <c r="C163" s="53">
        <v>0</v>
      </c>
      <c r="D163" s="53">
        <v>0.21683772838209434</v>
      </c>
      <c r="E163" s="53">
        <v>0</v>
      </c>
      <c r="F163" s="49">
        <v>12153634</v>
      </c>
      <c r="G163" s="49">
        <v>2</v>
      </c>
      <c r="H163" s="53" t="s">
        <v>126</v>
      </c>
      <c r="I163" s="53">
        <v>0</v>
      </c>
      <c r="J163" s="53">
        <v>0.15884718046218019</v>
      </c>
      <c r="K163" s="53">
        <v>0</v>
      </c>
      <c r="L163" s="49">
        <v>553960</v>
      </c>
      <c r="N163" s="48" t="s">
        <v>124</v>
      </c>
      <c r="R163" s="21"/>
      <c r="S163" s="21"/>
    </row>
    <row r="164" spans="1:19" s="48" customFormat="1" x14ac:dyDescent="0.2">
      <c r="A164" s="49">
        <v>3</v>
      </c>
      <c r="B164" s="53" t="s">
        <v>128</v>
      </c>
      <c r="C164" s="53">
        <v>0</v>
      </c>
      <c r="D164" s="53">
        <v>0.10155116663505667</v>
      </c>
      <c r="E164" s="53">
        <v>0</v>
      </c>
      <c r="F164" s="49">
        <v>11115023</v>
      </c>
      <c r="G164" s="49">
        <v>3</v>
      </c>
      <c r="H164" s="53" t="s">
        <v>98</v>
      </c>
      <c r="I164" s="53">
        <v>0</v>
      </c>
      <c r="J164" s="53">
        <v>0.13332646635282172</v>
      </c>
      <c r="K164" s="53">
        <v>0</v>
      </c>
      <c r="L164" s="49">
        <v>3050596</v>
      </c>
      <c r="N164" s="48" t="s">
        <v>125</v>
      </c>
      <c r="R164" s="21"/>
      <c r="S164" s="21"/>
    </row>
    <row r="165" spans="1:19" s="48" customFormat="1" x14ac:dyDescent="0.2">
      <c r="A165" s="49">
        <v>4</v>
      </c>
      <c r="B165" s="53" t="s">
        <v>178</v>
      </c>
      <c r="C165" s="53">
        <v>0</v>
      </c>
      <c r="D165" s="53">
        <v>8.6537691989018978E-2</v>
      </c>
      <c r="E165" s="53">
        <v>0</v>
      </c>
      <c r="F165" s="49">
        <v>3689192</v>
      </c>
      <c r="G165" s="49">
        <v>4</v>
      </c>
      <c r="H165" s="53" t="s">
        <v>178</v>
      </c>
      <c r="I165" s="53">
        <v>0</v>
      </c>
      <c r="J165" s="53">
        <v>0.12441411021502743</v>
      </c>
      <c r="K165" s="53">
        <v>0</v>
      </c>
      <c r="L165" s="49">
        <v>3689192</v>
      </c>
      <c r="R165" s="21"/>
      <c r="S165" s="21"/>
    </row>
    <row r="166" spans="1:19" s="48" customFormat="1" x14ac:dyDescent="0.2">
      <c r="A166" s="49">
        <v>5</v>
      </c>
      <c r="B166" s="53" t="s">
        <v>98</v>
      </c>
      <c r="C166" s="53">
        <v>0</v>
      </c>
      <c r="D166" s="53">
        <v>7.4177569678437819E-2</v>
      </c>
      <c r="E166" s="53">
        <v>0</v>
      </c>
      <c r="F166" s="49">
        <v>3050596</v>
      </c>
      <c r="G166" s="49">
        <v>5</v>
      </c>
      <c r="H166" s="53" t="s">
        <v>145</v>
      </c>
      <c r="I166" s="53">
        <v>0</v>
      </c>
      <c r="J166" s="53">
        <v>0.17548021260550978</v>
      </c>
      <c r="K166" s="53">
        <v>0</v>
      </c>
      <c r="L166" s="49">
        <v>1692097</v>
      </c>
      <c r="R166" s="21"/>
      <c r="S166" s="21"/>
    </row>
    <row r="167" spans="1:19" s="48" customFormat="1" x14ac:dyDescent="0.2">
      <c r="A167" s="49">
        <v>6</v>
      </c>
      <c r="B167" s="53" t="s">
        <v>145</v>
      </c>
      <c r="C167" s="53">
        <v>0</v>
      </c>
      <c r="D167" s="53">
        <v>0</v>
      </c>
      <c r="E167" s="53">
        <v>0</v>
      </c>
      <c r="F167" s="49">
        <v>1692097</v>
      </c>
      <c r="G167" s="49">
        <v>6</v>
      </c>
      <c r="H167" s="53" t="s">
        <v>128</v>
      </c>
      <c r="I167" s="53">
        <v>0</v>
      </c>
      <c r="J167" s="53">
        <v>0</v>
      </c>
      <c r="K167" s="53">
        <v>0</v>
      </c>
      <c r="L167" s="49">
        <v>11115023</v>
      </c>
      <c r="R167" s="21"/>
      <c r="S167" s="21"/>
    </row>
    <row r="168" spans="1:19" s="48" customFormat="1" x14ac:dyDescent="0.2">
      <c r="A168" s="49">
        <v>7</v>
      </c>
      <c r="B168" s="53" t="s">
        <v>99</v>
      </c>
      <c r="C168" s="53">
        <v>0</v>
      </c>
      <c r="D168" s="53">
        <v>0</v>
      </c>
      <c r="E168" s="53">
        <v>0</v>
      </c>
      <c r="F168" s="49">
        <v>2480382</v>
      </c>
      <c r="G168" s="49">
        <v>7</v>
      </c>
      <c r="H168" s="53" t="s">
        <v>99</v>
      </c>
      <c r="I168" s="53">
        <v>0</v>
      </c>
      <c r="J168" s="53">
        <v>0</v>
      </c>
      <c r="K168" s="53">
        <v>0</v>
      </c>
      <c r="L168" s="49">
        <v>2480382</v>
      </c>
      <c r="R168" s="21"/>
      <c r="S168" s="21"/>
    </row>
    <row r="169" spans="1:19" s="48" customFormat="1" x14ac:dyDescent="0.2">
      <c r="A169" s="49">
        <v>8</v>
      </c>
      <c r="B169" s="53" t="s">
        <v>265</v>
      </c>
      <c r="C169" s="53">
        <v>0</v>
      </c>
      <c r="D169" s="53">
        <v>0</v>
      </c>
      <c r="E169" s="53">
        <v>0</v>
      </c>
      <c r="F169" s="49">
        <v>7434864</v>
      </c>
      <c r="G169" s="49">
        <v>8</v>
      </c>
      <c r="H169" s="53" t="s">
        <v>175</v>
      </c>
      <c r="I169" s="53">
        <v>0</v>
      </c>
      <c r="J169" s="53">
        <v>0</v>
      </c>
      <c r="K169" s="53">
        <v>0</v>
      </c>
      <c r="L169" s="49">
        <v>8497745</v>
      </c>
      <c r="R169" s="21"/>
      <c r="S169" s="21"/>
    </row>
    <row r="170" spans="1:19" s="48" customFormat="1" x14ac:dyDescent="0.2">
      <c r="A170" s="49">
        <v>9</v>
      </c>
      <c r="B170" s="53" t="s">
        <v>107</v>
      </c>
      <c r="C170" s="53">
        <v>0</v>
      </c>
      <c r="D170" s="53">
        <v>0.29089412211247856</v>
      </c>
      <c r="E170" s="53">
        <v>0</v>
      </c>
      <c r="F170" s="49">
        <v>5920853</v>
      </c>
      <c r="G170" s="49">
        <v>9</v>
      </c>
      <c r="H170" s="53" t="s">
        <v>107</v>
      </c>
      <c r="I170" s="53">
        <v>0</v>
      </c>
      <c r="J170" s="53">
        <v>0.24749433488364669</v>
      </c>
      <c r="K170" s="53">
        <v>0</v>
      </c>
      <c r="L170" s="49">
        <v>5920853</v>
      </c>
      <c r="R170" s="21"/>
      <c r="S170" s="21"/>
    </row>
    <row r="171" spans="1:19" s="48" customFormat="1" x14ac:dyDescent="0.2">
      <c r="A171" s="49">
        <v>10</v>
      </c>
      <c r="B171" s="53"/>
      <c r="C171" s="53">
        <v>0</v>
      </c>
      <c r="D171" s="53">
        <v>0</v>
      </c>
      <c r="E171" s="53">
        <v>0</v>
      </c>
      <c r="F171" s="49"/>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F54648B4-7BC8-4FCF-8527-31E699A5CB0A}">
      <formula1>$C$112:$C$113</formula1>
    </dataValidation>
  </dataValidations>
  <hyperlinks>
    <hyperlink ref="O1:P1" location="Home_page" display="Back to home page" xr:uid="{F0DEF808-58C5-4552-8144-FAF976670E52}"/>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B6D71934-E800-4972-A20E-038055350C1F}">
          <x14:colorSeries rgb="FF323232"/>
          <x14:colorNegative rgb="FFD00000"/>
          <x14:colorAxis rgb="FF000000"/>
          <x14:colorMarkers rgb="FFD00000"/>
          <x14:colorFirst rgb="FFD00000"/>
          <x14:colorLast rgb="FFD00000"/>
          <x14:colorHigh rgb="FFD00000"/>
          <x14:colorLow rgb="FFD00000"/>
          <x14:sparklines>
            <x14:sparkline>
              <xm:f>'NSWOS demersal seiners'!D3:N3</xm:f>
              <xm:sqref>C3</xm:sqref>
            </x14:sparkline>
            <x14:sparkline>
              <xm:f>'NSWOS demersal seiners'!D4:N4</xm:f>
              <xm:sqref>C4</xm:sqref>
            </x14:sparkline>
            <x14:sparkline>
              <xm:f>'NSWOS demersal seiners'!D5:N5</xm:f>
              <xm:sqref>C5</xm:sqref>
            </x14:sparkline>
            <x14:sparkline>
              <xm:f>'NSWOS demersal seiners'!D6:N6</xm:f>
              <xm:sqref>C6</xm:sqref>
            </x14:sparkline>
            <x14:sparkline>
              <xm:f>'NSWOS demersal seiners'!D7:N7</xm:f>
              <xm:sqref>C7</xm:sqref>
            </x14:sparkline>
            <x14:sparkline>
              <xm:f>'NSWOS demersal seiners'!D8:N8</xm:f>
              <xm:sqref>C8</xm:sqref>
            </x14:sparkline>
            <x14:sparkline>
              <xm:f>'NSWOS demersal seiners'!D9:N9</xm:f>
              <xm:sqref>C9</xm:sqref>
            </x14:sparkline>
            <x14:sparkline>
              <xm:f>'NSWOS demersal seiners'!D10:N10</xm:f>
              <xm:sqref>C10</xm:sqref>
            </x14:sparkline>
            <x14:sparkline>
              <xm:f>'NSWOS demersal seiners'!D11:N11</xm:f>
              <xm:sqref>C11</xm:sqref>
            </x14:sparkline>
            <x14:sparkline>
              <xm:f>'NSWOS demersal seiners'!D12:N12</xm:f>
              <xm:sqref>C12</xm:sqref>
            </x14:sparkline>
            <x14:sparkline>
              <xm:f>'NSWOS demersal seiners'!D13:N13</xm:f>
              <xm:sqref>C13</xm:sqref>
            </x14:sparkline>
            <x14:sparkline>
              <xm:f>'NSWOS demersal seiners'!D14:N14</xm:f>
              <xm:sqref>C14</xm:sqref>
            </x14:sparkline>
            <x14:sparkline>
              <xm:f>'NSWOS demersal seiners'!D15:N15</xm:f>
              <xm:sqref>C15</xm:sqref>
            </x14:sparkline>
            <x14:sparkline>
              <xm:f>'NSWOS demersal seiners'!D16:N16</xm:f>
              <xm:sqref>C16</xm:sqref>
            </x14:sparkline>
            <x14:sparkline>
              <xm:f>'NSWOS demersal seiners'!D17:N17</xm:f>
              <xm:sqref>C17</xm:sqref>
            </x14:sparkline>
            <x14:sparkline>
              <xm:f>'NSWOS demersal seiners'!D18:N18</xm:f>
              <xm:sqref>C18</xm:sqref>
            </x14:sparkline>
            <x14:sparkline>
              <xm:f>'NSWOS demersal seiners'!D19:N19</xm:f>
              <xm:sqref>C19</xm:sqref>
            </x14:sparkline>
            <x14:sparkline>
              <xm:f>'NSWOS demersal seiners'!D20:N20</xm:f>
              <xm:sqref>C20</xm:sqref>
            </x14:sparkline>
            <x14:sparkline>
              <xm:f>'NSWOS demersal seiners'!D21:N21</xm:f>
              <xm:sqref>C21</xm:sqref>
            </x14:sparkline>
            <x14:sparkline>
              <xm:f>'NSWOS demersal seiners'!D22:N22</xm:f>
              <xm:sqref>C22</xm:sqref>
            </x14:sparkline>
            <x14:sparkline>
              <xm:f>'NSWOS demersal seiners'!D23:N23</xm:f>
              <xm:sqref>C23</xm:sqref>
            </x14:sparkline>
            <x14:sparkline>
              <xm:f>'NSWOS demersal seiners'!D24:N24</xm:f>
              <xm:sqref>C24</xm:sqref>
            </x14:sparkline>
            <x14:sparkline>
              <xm:f>'NSWOS demersal seiners'!D25:N25</xm:f>
              <xm:sqref>C25</xm:sqref>
            </x14:sparkline>
            <x14:sparkline>
              <xm:f>'NSWOS demersal seiners'!D26:N26</xm:f>
              <xm:sqref>C26</xm:sqref>
            </x14:sparkline>
            <x14:sparkline>
              <xm:f>'NSWOS demersal seiners'!D27:N27</xm:f>
              <xm:sqref>C27</xm:sqref>
            </x14:sparkline>
            <x14:sparkline>
              <xm:f>'NSWOS demersal seiners'!D28:N28</xm:f>
              <xm:sqref>C28</xm:sqref>
            </x14:sparkline>
            <x14:sparkline>
              <xm:f>'NSWOS demersal seiners'!D29:N29</xm:f>
              <xm:sqref>C29</xm:sqref>
            </x14:sparkline>
            <x14:sparkline>
              <xm:f>'NSWOS demersal seiners'!D30:N30</xm:f>
              <xm:sqref>C30</xm:sqref>
            </x14:sparkline>
            <x14:sparkline>
              <xm:f>'NSWOS demersal seiners'!D31:N31</xm:f>
              <xm:sqref>C31</xm:sqref>
            </x14:sparkline>
            <x14:sparkline>
              <xm:f>'NSWOS demersal seiners'!D32:N32</xm:f>
              <xm:sqref>C32</xm:sqref>
            </x14:sparkline>
            <x14:sparkline>
              <xm:f>'NSWOS demersal seiners'!D33:N33</xm:f>
              <xm:sqref>C33</xm:sqref>
            </x14:sparkline>
            <x14:sparkline>
              <xm:f>'NSWOS demersal seiners'!D34:N34</xm:f>
              <xm:sqref>C34</xm:sqref>
            </x14:sparkline>
            <x14:sparkline>
              <xm:f>'NSWOS demersal seiners'!D35:N35</xm:f>
              <xm:sqref>C35</xm:sqref>
            </x14:sparkline>
            <x14:sparkline>
              <xm:f>'NSWOS demersal seiners'!D36:N36</xm:f>
              <xm:sqref>C36</xm:sqref>
            </x14:sparkline>
            <x14:sparkline>
              <xm:f>'NSWOS demersal seiners'!D37:N37</xm:f>
              <xm:sqref>C37</xm:sqref>
            </x14:sparkline>
            <x14:sparkline>
              <xm:f>'NSWOS demersal seiners'!D38:N38</xm:f>
              <xm:sqref>C38</xm:sqref>
            </x14:sparkline>
            <x14:sparkline>
              <xm:f>'NSWOS demersal seiners'!D39:N39</xm:f>
              <xm:sqref>C39</xm:sqref>
            </x14:sparkline>
            <x14:sparkline>
              <xm:f>'NSWOS demersal seiners'!D40:N40</xm:f>
              <xm:sqref>C40</xm:sqref>
            </x14:sparkline>
            <x14:sparkline>
              <xm:f>'NSWOS demersal seiners'!D41:N41</xm:f>
              <xm:sqref>C41</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19382-A7D3-47F1-B0E0-7460A419E141}">
  <sheetPr codeName="Feuil24">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354</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34</v>
      </c>
      <c r="E3" s="28">
        <v>36</v>
      </c>
      <c r="F3" s="28">
        <v>40</v>
      </c>
      <c r="G3" s="28">
        <v>34</v>
      </c>
      <c r="H3" s="28">
        <v>45</v>
      </c>
      <c r="I3" s="28">
        <v>33</v>
      </c>
      <c r="J3" s="28">
        <v>37</v>
      </c>
      <c r="K3" s="28">
        <v>46</v>
      </c>
      <c r="L3" s="28">
        <v>26</v>
      </c>
      <c r="M3" s="28">
        <v>41</v>
      </c>
      <c r="N3" s="28">
        <v>25</v>
      </c>
      <c r="O3" s="29">
        <f t="shared" ref="O3:O41" si="0">IF(N3=0,"",IFERROR(IF(AND(N3&gt;0,D3&lt;0),"na",IF(AND(N3&lt;0,D3&lt;0),-1,1)*(N3-D3)/D3),""))</f>
        <v>-0.26470588235294118</v>
      </c>
      <c r="P3" s="29">
        <f t="shared" ref="P3:P41" si="1">IF(N3=0,"",IFERROR(IF(AND(N3&gt;0,J3&lt;0),"na",IF(AND(N3&lt;0,J3&lt;0),-1,1)*(N3-J3)/J3),""))</f>
        <v>-0.32432432432432434</v>
      </c>
    </row>
    <row r="4" spans="1:17" ht="18" customHeight="1" x14ac:dyDescent="0.2">
      <c r="A4" s="193"/>
      <c r="B4" s="30" t="s">
        <v>55</v>
      </c>
      <c r="C4" s="31"/>
      <c r="D4" s="31">
        <v>15399</v>
      </c>
      <c r="E4" s="31">
        <v>16019</v>
      </c>
      <c r="F4" s="31">
        <v>17901</v>
      </c>
      <c r="G4" s="31">
        <v>15497</v>
      </c>
      <c r="H4" s="31">
        <v>20380</v>
      </c>
      <c r="I4" s="31">
        <v>14994</v>
      </c>
      <c r="J4" s="31">
        <v>17430</v>
      </c>
      <c r="K4" s="31">
        <v>21760</v>
      </c>
      <c r="L4" s="31">
        <v>12427</v>
      </c>
      <c r="M4" s="31">
        <v>19729</v>
      </c>
      <c r="N4" s="31">
        <v>12456</v>
      </c>
      <c r="O4" s="29">
        <f t="shared" si="0"/>
        <v>-0.19111630625365283</v>
      </c>
      <c r="P4" s="29">
        <f t="shared" si="1"/>
        <v>-0.28537005163511187</v>
      </c>
    </row>
    <row r="5" spans="1:17" ht="18" customHeight="1" x14ac:dyDescent="0.2">
      <c r="A5" s="193"/>
      <c r="B5" s="30" t="s">
        <v>56</v>
      </c>
      <c r="C5" s="31"/>
      <c r="D5" s="31">
        <v>5781</v>
      </c>
      <c r="E5" s="31">
        <v>5874</v>
      </c>
      <c r="F5" s="31">
        <v>6621</v>
      </c>
      <c r="G5" s="31">
        <v>5846</v>
      </c>
      <c r="H5" s="31">
        <v>7413</v>
      </c>
      <c r="I5" s="31">
        <v>5656</v>
      </c>
      <c r="J5" s="31">
        <v>6356</v>
      </c>
      <c r="K5" s="31">
        <v>8084</v>
      </c>
      <c r="L5" s="31">
        <v>4605</v>
      </c>
      <c r="M5" s="31">
        <v>7495</v>
      </c>
      <c r="N5" s="31">
        <v>4632</v>
      </c>
      <c r="O5" s="29">
        <f t="shared" si="0"/>
        <v>-0.19875454073689672</v>
      </c>
      <c r="P5" s="29">
        <f t="shared" si="1"/>
        <v>-0.27123977344241662</v>
      </c>
      <c r="Q5" s="32"/>
    </row>
    <row r="6" spans="1:17" ht="18" customHeight="1" x14ac:dyDescent="0.2">
      <c r="A6" s="193"/>
      <c r="B6" s="30" t="s">
        <v>57</v>
      </c>
      <c r="C6" s="31"/>
      <c r="D6" s="31">
        <v>11967.4189453125</v>
      </c>
      <c r="E6" s="31">
        <v>12482.3193359375</v>
      </c>
      <c r="F6" s="31">
        <v>14051.9130859375</v>
      </c>
      <c r="G6" s="31">
        <v>12076.6201171875</v>
      </c>
      <c r="H6" s="31">
        <v>15752.7666015625</v>
      </c>
      <c r="I6" s="31">
        <v>11656.8505859375</v>
      </c>
      <c r="J6" s="31">
        <v>13314.7919921875</v>
      </c>
      <c r="K6" s="31">
        <v>16585.21875</v>
      </c>
      <c r="L6" s="31">
        <v>9448.0546875</v>
      </c>
      <c r="M6" s="31">
        <v>14661.2451171875</v>
      </c>
      <c r="N6" s="31">
        <v>8659.6484375</v>
      </c>
      <c r="O6" s="29">
        <f t="shared" si="0"/>
        <v>-0.27639798714560049</v>
      </c>
      <c r="P6" s="29">
        <f t="shared" si="1"/>
        <v>-0.3496219510916071</v>
      </c>
    </row>
    <row r="7" spans="1:17" ht="18" customHeight="1" x14ac:dyDescent="0.2">
      <c r="A7" s="193"/>
      <c r="B7" s="30" t="s">
        <v>58</v>
      </c>
      <c r="C7" s="31"/>
      <c r="D7" s="31">
        <v>11164.7626953125</v>
      </c>
      <c r="E7" s="31">
        <v>11795.4365234375</v>
      </c>
      <c r="F7" s="31">
        <v>16381.5869140625</v>
      </c>
      <c r="G7" s="31">
        <v>14166.751953125</v>
      </c>
      <c r="H7" s="31">
        <v>16996.73828125</v>
      </c>
      <c r="I7" s="31">
        <v>15156.5732421875</v>
      </c>
      <c r="J7" s="31">
        <v>18255.943359375</v>
      </c>
      <c r="K7" s="31">
        <v>21255.25</v>
      </c>
      <c r="L7" s="31">
        <v>14346.5791015625</v>
      </c>
      <c r="M7" s="31">
        <v>16844.87109375</v>
      </c>
      <c r="N7" s="31">
        <v>11967.47265625</v>
      </c>
      <c r="O7" s="29">
        <f t="shared" si="0"/>
        <v>7.1896732858864609E-2</v>
      </c>
      <c r="P7" s="29">
        <f t="shared" si="1"/>
        <v>-0.34446155859131067</v>
      </c>
    </row>
    <row r="8" spans="1:17" ht="18" customHeight="1" x14ac:dyDescent="0.2">
      <c r="A8" s="193"/>
      <c r="B8" s="30" t="s">
        <v>59</v>
      </c>
      <c r="C8" s="33"/>
      <c r="D8" s="33">
        <f ca="1">28.725806*OFFSET(D$112,MATCH($N$1,$C$112:$C$113,0)-1,0)</f>
        <v>28.725805999999999</v>
      </c>
      <c r="E8" s="33">
        <f ca="1">25.96043*OFFSET(E$112,MATCH($N$1,$C$112:$C$113,0)-1,0)</f>
        <v>25.960429999999999</v>
      </c>
      <c r="F8" s="33">
        <f ca="1">30.949032*OFFSET(F$112,MATCH($N$1,$C$112:$C$113,0)-1,0)</f>
        <v>30.949031999999999</v>
      </c>
      <c r="G8" s="33">
        <f ca="1">30.220076*OFFSET(G$112,MATCH($N$1,$C$112:$C$113,0)-1,0)</f>
        <v>30.220075999999999</v>
      </c>
      <c r="H8" s="33">
        <f ca="1">34.731348*OFFSET(H$112,MATCH($N$1,$C$112:$C$113,0)-1,0)</f>
        <v>34.731347999999997</v>
      </c>
      <c r="I8" s="33">
        <f ca="1">35.196372*OFFSET(I$112,MATCH($N$1,$C$112:$C$113,0)-1,0)</f>
        <v>35.196371999999997</v>
      </c>
      <c r="J8" s="33">
        <f ca="1">45.272812*OFFSET(J$112,MATCH($N$1,$C$112:$C$113,0)-1,0)</f>
        <v>45.272812000000002</v>
      </c>
      <c r="K8" s="33">
        <f ca="1">50.938696*OFFSET(K$112,MATCH($N$1,$C$112:$C$113,0)-1,0)</f>
        <v>50.938696</v>
      </c>
      <c r="L8" s="33">
        <f ca="1">36.980924*OFFSET(L$112,MATCH($N$1,$C$112:$C$113,0)-1,0)</f>
        <v>36.980924000000002</v>
      </c>
      <c r="M8" s="33">
        <f ca="1">34.441232*OFFSET(M$112,MATCH($N$1,$C$112:$C$113,0)-1,0)</f>
        <v>34.441231999999999</v>
      </c>
      <c r="N8" s="33">
        <v>27.072227999999999</v>
      </c>
      <c r="O8" s="29">
        <f t="shared" ca="1" si="0"/>
        <v>-5.7564198546770091E-2</v>
      </c>
      <c r="P8" s="29">
        <f t="shared" ca="1" si="1"/>
        <v>-0.40202017935179291</v>
      </c>
    </row>
    <row r="9" spans="1:17" ht="18" customHeight="1" x14ac:dyDescent="0.2">
      <c r="A9" s="193"/>
      <c r="B9" s="30" t="s">
        <v>60</v>
      </c>
      <c r="C9" s="31"/>
      <c r="D9" s="31">
        <v>5405</v>
      </c>
      <c r="E9" s="31">
        <v>5565</v>
      </c>
      <c r="F9" s="31">
        <v>6917</v>
      </c>
      <c r="G9" s="31">
        <v>5861</v>
      </c>
      <c r="H9" s="31">
        <v>8131</v>
      </c>
      <c r="I9" s="31">
        <v>6294</v>
      </c>
      <c r="J9" s="31">
        <v>6671</v>
      </c>
      <c r="K9" s="31">
        <v>9179</v>
      </c>
      <c r="L9" s="31">
        <v>5571</v>
      </c>
      <c r="M9" s="31">
        <v>7244</v>
      </c>
      <c r="N9" s="31">
        <v>5143</v>
      </c>
      <c r="O9" s="29">
        <f t="shared" si="0"/>
        <v>-4.8473635522664198E-2</v>
      </c>
      <c r="P9" s="29">
        <f t="shared" si="1"/>
        <v>-0.22905111677409684</v>
      </c>
    </row>
    <row r="10" spans="1:17" ht="18" customHeight="1" x14ac:dyDescent="0.2">
      <c r="A10" s="193"/>
      <c r="B10" s="30" t="s">
        <v>61</v>
      </c>
      <c r="C10" s="31"/>
      <c r="D10" s="31">
        <v>244.930419921875</v>
      </c>
      <c r="E10" s="31">
        <v>301.4473876953125</v>
      </c>
      <c r="F10" s="31">
        <v>332.60955810546875</v>
      </c>
      <c r="G10" s="31">
        <v>197.93315124511719</v>
      </c>
      <c r="H10" s="31">
        <v>345.00494384765625</v>
      </c>
      <c r="I10" s="31">
        <v>238.97113037109375</v>
      </c>
      <c r="J10" s="31">
        <v>266.05950927734375</v>
      </c>
      <c r="K10" s="31">
        <v>476.82968139648438</v>
      </c>
      <c r="L10" s="31">
        <v>182.07521057128906</v>
      </c>
      <c r="M10" s="31">
        <v>254.50405883789063</v>
      </c>
      <c r="N10" s="31">
        <v>192.4122314453125</v>
      </c>
      <c r="O10" s="34">
        <f t="shared" si="0"/>
        <v>-0.21442084855492483</v>
      </c>
      <c r="P10" s="34">
        <f t="shared" si="1"/>
        <v>-0.27680753840397565</v>
      </c>
    </row>
    <row r="11" spans="1:17" ht="18" customHeight="1" x14ac:dyDescent="0.2">
      <c r="A11" s="194" t="s">
        <v>27</v>
      </c>
      <c r="B11" s="35" t="s">
        <v>62</v>
      </c>
      <c r="C11" s="36"/>
      <c r="D11" s="36">
        <v>20.772941589355469</v>
      </c>
      <c r="E11" s="36">
        <v>20.639165878295898</v>
      </c>
      <c r="F11" s="36">
        <v>20.848499298095703</v>
      </c>
      <c r="G11" s="36">
        <v>20.913824081420898</v>
      </c>
      <c r="H11" s="36">
        <v>20.840888977050781</v>
      </c>
      <c r="I11" s="36">
        <v>21.02787971496582</v>
      </c>
      <c r="J11" s="36">
        <v>20.951080322265625</v>
      </c>
      <c r="K11" s="36">
        <v>20.872825622558594</v>
      </c>
      <c r="L11" s="36">
        <v>20.781923294067383</v>
      </c>
      <c r="M11" s="36">
        <v>21.009267807006836</v>
      </c>
      <c r="N11" s="36">
        <v>21.045200347900391</v>
      </c>
      <c r="O11" s="29">
        <f t="shared" si="0"/>
        <v>1.3106413329753621E-2</v>
      </c>
      <c r="P11" s="29">
        <f t="shared" si="1"/>
        <v>4.4923709988711263E-3</v>
      </c>
    </row>
    <row r="12" spans="1:17" ht="18" customHeight="1" x14ac:dyDescent="0.2">
      <c r="A12" s="195"/>
      <c r="B12" s="37" t="s">
        <v>55</v>
      </c>
      <c r="C12" s="31"/>
      <c r="D12" s="31">
        <v>452.91177368164063</v>
      </c>
      <c r="E12" s="31">
        <v>444.97222900390625</v>
      </c>
      <c r="F12" s="31">
        <v>447.52499389648438</v>
      </c>
      <c r="G12" s="31">
        <v>455.79412841796875</v>
      </c>
      <c r="H12" s="31">
        <v>452.88888549804688</v>
      </c>
      <c r="I12" s="31">
        <v>454.3636474609375</v>
      </c>
      <c r="J12" s="31">
        <v>471.08108520507813</v>
      </c>
      <c r="K12" s="31">
        <v>473.04348754882813</v>
      </c>
      <c r="L12" s="31">
        <v>477.9615478515625</v>
      </c>
      <c r="M12" s="31">
        <v>481.19512939453125</v>
      </c>
      <c r="N12" s="31">
        <v>498.239990234375</v>
      </c>
      <c r="O12" s="29">
        <f t="shared" si="0"/>
        <v>0.10008178013185488</v>
      </c>
      <c r="P12" s="29">
        <f t="shared" si="1"/>
        <v>5.7652293590759754E-2</v>
      </c>
    </row>
    <row r="13" spans="1:17" ht="18" customHeight="1" x14ac:dyDescent="0.2">
      <c r="A13" s="195"/>
      <c r="B13" s="37" t="s">
        <v>56</v>
      </c>
      <c r="C13" s="31"/>
      <c r="D13" s="31">
        <v>170.0294189453125</v>
      </c>
      <c r="E13" s="31">
        <v>163.16667175292969</v>
      </c>
      <c r="F13" s="31">
        <v>165.52499389648438</v>
      </c>
      <c r="G13" s="31">
        <v>171.94117736816406</v>
      </c>
      <c r="H13" s="31">
        <v>164.73333740234375</v>
      </c>
      <c r="I13" s="31">
        <v>171.39393615722656</v>
      </c>
      <c r="J13" s="31">
        <v>171.78378295898438</v>
      </c>
      <c r="K13" s="31">
        <v>175.7391357421875</v>
      </c>
      <c r="L13" s="31">
        <v>177.11538696289063</v>
      </c>
      <c r="M13" s="31">
        <v>182.80487060546875</v>
      </c>
      <c r="N13" s="31">
        <v>185.27999877929688</v>
      </c>
      <c r="O13" s="29">
        <f t="shared" si="0"/>
        <v>8.9693771398992442E-2</v>
      </c>
      <c r="P13" s="29">
        <f t="shared" si="1"/>
        <v>7.8565133377781635E-2</v>
      </c>
    </row>
    <row r="14" spans="1:17" ht="18" customHeight="1" x14ac:dyDescent="0.2">
      <c r="A14" s="195"/>
      <c r="B14" s="37" t="s">
        <v>57</v>
      </c>
      <c r="C14" s="31"/>
      <c r="D14" s="31">
        <v>351.98291015625</v>
      </c>
      <c r="E14" s="31">
        <v>346.73110961914063</v>
      </c>
      <c r="F14" s="31">
        <v>351.29782104492188</v>
      </c>
      <c r="G14" s="31">
        <v>355.1947021484375</v>
      </c>
      <c r="H14" s="31">
        <v>350.06146240234375</v>
      </c>
      <c r="I14" s="31">
        <v>353.23788452148438</v>
      </c>
      <c r="J14" s="31">
        <v>359.85922241210938</v>
      </c>
      <c r="K14" s="31">
        <v>360.5482177734375</v>
      </c>
      <c r="L14" s="31">
        <v>363.38671875</v>
      </c>
      <c r="M14" s="31">
        <v>366.5311279296875</v>
      </c>
      <c r="N14" s="31">
        <v>376.50643920898438</v>
      </c>
      <c r="O14" s="29">
        <f t="shared" si="0"/>
        <v>6.9672499275172328E-2</v>
      </c>
      <c r="P14" s="29">
        <f t="shared" si="1"/>
        <v>4.6260358940615594E-2</v>
      </c>
    </row>
    <row r="15" spans="1:17" ht="18" customHeight="1" x14ac:dyDescent="0.2">
      <c r="A15" s="195"/>
      <c r="B15" s="37" t="s">
        <v>58</v>
      </c>
      <c r="C15" s="33"/>
      <c r="D15" s="33">
        <v>328.3753662109375</v>
      </c>
      <c r="E15" s="33">
        <v>327.6510009765625</v>
      </c>
      <c r="F15" s="33">
        <v>409.5396728515625</v>
      </c>
      <c r="G15" s="33">
        <v>416.669189453125</v>
      </c>
      <c r="H15" s="33">
        <v>377.70529174804688</v>
      </c>
      <c r="I15" s="33">
        <v>459.29010009765625</v>
      </c>
      <c r="J15" s="33">
        <v>493.40386962890625</v>
      </c>
      <c r="K15" s="33">
        <v>462.07064819335938</v>
      </c>
      <c r="L15" s="33">
        <v>551.79150390625</v>
      </c>
      <c r="M15" s="33">
        <v>410.85049438476563</v>
      </c>
      <c r="N15" s="33">
        <v>478.69888305664063</v>
      </c>
      <c r="O15" s="29">
        <f t="shared" si="0"/>
        <v>0.4577795179347901</v>
      </c>
      <c r="P15" s="29">
        <f t="shared" si="1"/>
        <v>-2.9803143990997448E-2</v>
      </c>
    </row>
    <row r="16" spans="1:17" ht="18" customHeight="1" x14ac:dyDescent="0.2">
      <c r="A16" s="195"/>
      <c r="B16" s="37" t="s">
        <v>63</v>
      </c>
      <c r="C16" s="33"/>
      <c r="D16" s="33">
        <f ca="1">844.876625*OFFSET(D$112,MATCH($N$1,$C$112:$C$113,0)-1,0)</f>
        <v>844.87662499999999</v>
      </c>
      <c r="E16" s="33">
        <f ca="1">721.1230625*OFFSET(E$112,MATCH($N$1,$C$112:$C$113,0)-1,0)</f>
        <v>721.12306249999995</v>
      </c>
      <c r="F16" s="33">
        <f ca="1">773.7258125*OFFSET(F$112,MATCH($N$1,$C$112:$C$113,0)-1,0)</f>
        <v>773.72581249999996</v>
      </c>
      <c r="G16" s="33">
        <f ca="1">888.82575*OFFSET(G$112,MATCH($N$1,$C$112:$C$113,0)-1,0)</f>
        <v>888.82574999999997</v>
      </c>
      <c r="H16" s="33">
        <f ca="1">771.8076875*OFFSET(H$112,MATCH($N$1,$C$112:$C$113,0)-1,0)</f>
        <v>771.80768750000004</v>
      </c>
      <c r="I16" s="33">
        <f ca="1">1066.55675*OFFSET(I$112,MATCH($N$1,$C$112:$C$113,0)-1,0)</f>
        <v>1066.55675</v>
      </c>
      <c r="J16" s="33">
        <f ca="1">1223.5895*OFFSET(J$112,MATCH($N$1,$C$112:$C$113,0)-1,0)</f>
        <v>1223.5895</v>
      </c>
      <c r="K16" s="33">
        <f ca="1">1107.363*OFFSET(K$112,MATCH($N$1,$C$112:$C$113,0)-1,0)</f>
        <v>1107.3630000000001</v>
      </c>
      <c r="L16" s="33">
        <f ca="1">1422.343125*OFFSET(L$112,MATCH($N$1,$C$112:$C$113,0)-1,0)</f>
        <v>1422.3431250000001</v>
      </c>
      <c r="M16" s="33">
        <f ca="1">840.0300625*OFFSET(M$112,MATCH($N$1,$C$112:$C$113,0)-1,0)</f>
        <v>840.03006249999999</v>
      </c>
      <c r="N16" s="33">
        <v>1082.8891249999999</v>
      </c>
      <c r="O16" s="29">
        <f t="shared" ca="1" si="0"/>
        <v>0.28171272935856162</v>
      </c>
      <c r="P16" s="29">
        <f t="shared" ca="1" si="1"/>
        <v>-0.11498985158012562</v>
      </c>
    </row>
    <row r="17" spans="1:16" ht="18" customHeight="1" x14ac:dyDescent="0.2">
      <c r="A17" s="195"/>
      <c r="B17" s="37" t="s">
        <v>60</v>
      </c>
      <c r="C17" s="31"/>
      <c r="D17" s="31">
        <v>158.9705810546875</v>
      </c>
      <c r="E17" s="31">
        <v>154.58332824707031</v>
      </c>
      <c r="F17" s="31">
        <v>172.92500305175781</v>
      </c>
      <c r="G17" s="31">
        <v>172.38235473632813</v>
      </c>
      <c r="H17" s="31">
        <v>180.68888854980469</v>
      </c>
      <c r="I17" s="31">
        <v>190.72727966308594</v>
      </c>
      <c r="J17" s="31">
        <v>180.29730224609375</v>
      </c>
      <c r="K17" s="31">
        <v>199.54347229003906</v>
      </c>
      <c r="L17" s="31">
        <v>214.26922607421875</v>
      </c>
      <c r="M17" s="31">
        <v>176.68292236328125</v>
      </c>
      <c r="N17" s="31">
        <v>205.72000122070313</v>
      </c>
      <c r="O17" s="29">
        <f t="shared" si="0"/>
        <v>0.29407592182061248</v>
      </c>
      <c r="P17" s="29">
        <f t="shared" si="1"/>
        <v>0.14100432262657536</v>
      </c>
    </row>
    <row r="18" spans="1:16" ht="18" customHeight="1" x14ac:dyDescent="0.2">
      <c r="A18" s="195"/>
      <c r="B18" s="37" t="s">
        <v>64</v>
      </c>
      <c r="C18" s="31"/>
      <c r="D18" s="31">
        <v>16.735294342041016</v>
      </c>
      <c r="E18" s="31">
        <v>17.388889312744141</v>
      </c>
      <c r="F18" s="31">
        <v>18</v>
      </c>
      <c r="G18" s="31">
        <v>18.176469802856445</v>
      </c>
      <c r="H18" s="31">
        <v>20.511110305786133</v>
      </c>
      <c r="I18" s="31">
        <v>20.818181991577148</v>
      </c>
      <c r="J18" s="31">
        <v>19.891891479492188</v>
      </c>
      <c r="K18" s="31">
        <v>20.304347991943359</v>
      </c>
      <c r="L18" s="31">
        <v>19.923076629638672</v>
      </c>
      <c r="M18" s="31">
        <v>19.375</v>
      </c>
      <c r="N18" s="31">
        <v>20.782608032226563</v>
      </c>
      <c r="O18" s="29">
        <f t="shared" si="0"/>
        <v>0.24184299406185059</v>
      </c>
      <c r="P18" s="29">
        <f t="shared" si="1"/>
        <v>4.4777871106559737E-2</v>
      </c>
    </row>
    <row r="19" spans="1:16" ht="18" customHeight="1" x14ac:dyDescent="0.2">
      <c r="A19" s="195"/>
      <c r="B19" s="37" t="s">
        <v>65</v>
      </c>
      <c r="C19" s="38"/>
      <c r="D19" s="38">
        <v>2.065636157989502</v>
      </c>
      <c r="E19" s="38">
        <v>2.1195752620697021</v>
      </c>
      <c r="F19" s="38">
        <v>2.3683080673217773</v>
      </c>
      <c r="G19" s="38">
        <v>2.4171221256256104</v>
      </c>
      <c r="H19" s="38">
        <v>2.090362548828125</v>
      </c>
      <c r="I19" s="38">
        <v>2.4080986976623535</v>
      </c>
      <c r="J19" s="38">
        <v>2.7366125583648682</v>
      </c>
      <c r="K19" s="38">
        <v>2.3156390190124512</v>
      </c>
      <c r="L19" s="38">
        <v>2.5752251148223877</v>
      </c>
      <c r="M19" s="38">
        <v>2.3253548145294189</v>
      </c>
      <c r="N19" s="38">
        <v>2.3269438743591309</v>
      </c>
      <c r="O19" s="29">
        <f t="shared" si="0"/>
        <v>0.12650229584670009</v>
      </c>
      <c r="P19" s="29">
        <f t="shared" si="1"/>
        <v>-0.1496991902465416</v>
      </c>
    </row>
    <row r="20" spans="1:16" ht="18" customHeight="1" x14ac:dyDescent="0.2">
      <c r="A20" s="196"/>
      <c r="B20" s="39" t="s">
        <v>28</v>
      </c>
      <c r="C20" s="40"/>
      <c r="D20" s="40">
        <f ca="1">2573*OFFSET(D$112,MATCH($N$1,$C$112:$C$113,0)-1,0)</f>
        <v>2573</v>
      </c>
      <c r="E20" s="40">
        <f ca="1">2201*OFFSET(E$112,MATCH($N$1,$C$112:$C$113,0)-1,0)</f>
        <v>2201</v>
      </c>
      <c r="F20" s="40">
        <f ca="1">1889*OFFSET(F$112,MATCH($N$1,$C$112:$C$113,0)-1,0)</f>
        <v>1889</v>
      </c>
      <c r="G20" s="40">
        <f ca="1">2133*OFFSET(G$112,MATCH($N$1,$C$112:$C$113,0)-1,0)</f>
        <v>2133</v>
      </c>
      <c r="H20" s="40">
        <f ca="1">2043*OFFSET(H$112,MATCH($N$1,$C$112:$C$113,0)-1,0)</f>
        <v>2043</v>
      </c>
      <c r="I20" s="40">
        <f ca="1">2322*OFFSET(I$112,MATCH($N$1,$C$112:$C$113,0)-1,0)</f>
        <v>2322</v>
      </c>
      <c r="J20" s="40">
        <f ca="1">2480*OFFSET(J$112,MATCH($N$1,$C$112:$C$113,0)-1,0)</f>
        <v>2480</v>
      </c>
      <c r="K20" s="40">
        <f ca="1">2397*OFFSET(K$112,MATCH($N$1,$C$112:$C$113,0)-1,0)</f>
        <v>2397</v>
      </c>
      <c r="L20" s="40">
        <f ca="1">2578*OFFSET(L$112,MATCH($N$1,$C$112:$C$113,0)-1,0)</f>
        <v>2578</v>
      </c>
      <c r="M20" s="40">
        <f ca="1">2045*OFFSET(M$112,MATCH($N$1,$C$112:$C$113,0)-1,0)</f>
        <v>2045</v>
      </c>
      <c r="N20" s="40">
        <v>2262</v>
      </c>
      <c r="O20" s="34">
        <f t="shared" ca="1" si="0"/>
        <v>-0.12087057909055578</v>
      </c>
      <c r="P20" s="34">
        <f t="shared" ca="1" si="1"/>
        <v>-8.7903225806451615E-2</v>
      </c>
    </row>
    <row r="21" spans="1:16" ht="18" customHeight="1" x14ac:dyDescent="0.2">
      <c r="A21" s="197" t="s">
        <v>29</v>
      </c>
      <c r="B21" s="35" t="s">
        <v>66</v>
      </c>
      <c r="C21" s="41"/>
      <c r="D21" s="41">
        <v>4.4370252703888431</v>
      </c>
      <c r="E21" s="41">
        <v>4.611252551815026</v>
      </c>
      <c r="F21" s="41">
        <v>5.1767431474741032</v>
      </c>
      <c r="G21" s="41">
        <v>5.2355570425538271</v>
      </c>
      <c r="H21" s="41">
        <v>4.5100956814444384</v>
      </c>
      <c r="I21" s="41">
        <v>5.2149893381212475</v>
      </c>
      <c r="J21" s="41">
        <v>5.6556177573875503</v>
      </c>
      <c r="K21" s="41">
        <v>4.8257298778551494</v>
      </c>
      <c r="L21" s="41">
        <v>5.354503945071337</v>
      </c>
      <c r="M21" s="41">
        <v>4.7199501483194943</v>
      </c>
      <c r="N21" s="41">
        <v>4.5892615713720231</v>
      </c>
      <c r="O21" s="29">
        <f t="shared" si="0"/>
        <v>3.4310442629018112E-2</v>
      </c>
      <c r="P21" s="29">
        <f t="shared" si="1"/>
        <v>-0.18854813598790662</v>
      </c>
    </row>
    <row r="22" spans="1:16" ht="18" customHeight="1" x14ac:dyDescent="0.2">
      <c r="A22" s="197"/>
      <c r="B22" s="37" t="s">
        <v>67</v>
      </c>
      <c r="C22" s="38"/>
      <c r="D22" s="38">
        <f ca="1">11.4160175251324*OFFSET(D$112,MATCH($N$1,$C$112:$C$113,0)-1,0)</f>
        <v>11.4160175251324</v>
      </c>
      <c r="E22" s="38">
        <f ca="1">10.148849087031*OFFSET(E$112,MATCH($N$1,$C$112:$C$113,0)-1,0)</f>
        <v>10.148849087031</v>
      </c>
      <c r="F22" s="38">
        <f ca="1">9.78019973008807*OFFSET(F$112,MATCH($N$1,$C$112:$C$113,0)-1,0)</f>
        <v>9.7801997300880696</v>
      </c>
      <c r="G22" s="38">
        <f ca="1">11.1683273753055*OFFSET(G$112,MATCH($N$1,$C$112:$C$113,0)-1,0)</f>
        <v>11.1683273753055</v>
      </c>
      <c r="H22" s="38">
        <f ca="1">9.21598556956773*OFFSET(H$112,MATCH($N$1,$C$112:$C$113,0)-1,0)</f>
        <v>9.2159855695677297</v>
      </c>
      <c r="I22" s="38">
        <f ca="1">12.1101719339664*OFFSET(I$112,MATCH($N$1,$C$112:$C$113,0)-1,0)</f>
        <v>12.1101719339664</v>
      </c>
      <c r="J22" s="38">
        <f ca="1">14.0253348826746*OFFSET(J$112,MATCH($N$1,$C$112:$C$113,0)-1,0)</f>
        <v>14.025334882674599</v>
      </c>
      <c r="K22" s="38">
        <f ca="1">11.5649733122523*OFFSET(K$112,MATCH($N$1,$C$112:$C$113,0)-1,0)</f>
        <v>11.564973312252301</v>
      </c>
      <c r="L22" s="38">
        <f ca="1">13.8022093855065*OFFSET(L$112,MATCH($N$1,$C$112:$C$113,0)-1,0)</f>
        <v>13.802209385506499</v>
      </c>
      <c r="M22" s="38">
        <f ca="1">9.65046914213164*OFFSET(M$112,MATCH($N$1,$C$112:$C$113,0)-1,0)</f>
        <v>9.6504691421316409</v>
      </c>
      <c r="N22" s="38">
        <v>10.381602346106069</v>
      </c>
      <c r="O22" s="29">
        <f t="shared" ca="1" si="0"/>
        <v>-9.0610861164943227E-2</v>
      </c>
      <c r="P22" s="29">
        <f t="shared" ca="1" si="1"/>
        <v>-0.25979647310023291</v>
      </c>
    </row>
    <row r="23" spans="1:16" ht="18" customHeight="1" x14ac:dyDescent="0.2">
      <c r="A23" s="197"/>
      <c r="B23" s="37" t="s">
        <v>11</v>
      </c>
      <c r="C23" s="38"/>
      <c r="D23" s="38">
        <f ca="1">10.6737856887093*OFFSET(D$112,MATCH($N$1,$C$112:$C$113,0)-1,0)</f>
        <v>10.6737856887093</v>
      </c>
      <c r="E23" s="38">
        <f ca="1">10.626729728443*OFFSET(E$112,MATCH($N$1,$C$112:$C$113,0)-1,0)</f>
        <v>10.626729728442999</v>
      </c>
      <c r="F23" s="38">
        <f ca="1">9.69414411985622*OFFSET(F$112,MATCH($N$1,$C$112:$C$113,0)-1,0)</f>
        <v>9.6941441198562206</v>
      </c>
      <c r="G23" s="38">
        <f ca="1">9.98286407646904*OFFSET(G$112,MATCH($N$1,$C$112:$C$113,0)-1,0)</f>
        <v>9.9828640764690402</v>
      </c>
      <c r="H23" s="38">
        <f ca="1">8.44911119552579*OFFSET(H$112,MATCH($N$1,$C$112:$C$113,0)-1,0)</f>
        <v>8.4491111955257896</v>
      </c>
      <c r="I23" s="38">
        <f ca="1">10.515220471162*OFFSET(I$112,MATCH($N$1,$C$112:$C$113,0)-1,0)</f>
        <v>10.515220471161999</v>
      </c>
      <c r="J23" s="38">
        <f ca="1">11.7392861901821*OFFSET(J$112,MATCH($N$1,$C$112:$C$113,0)-1,0)</f>
        <v>11.739286190182099</v>
      </c>
      <c r="K23" s="38">
        <f ca="1">10.1725935784591*OFFSET(K$112,MATCH($N$1,$C$112:$C$113,0)-1,0)</f>
        <v>10.1725935784591</v>
      </c>
      <c r="L23" s="38">
        <f ca="1">11.0993685975415*OFFSET(L$112,MATCH($N$1,$C$112:$C$113,0)-1,0)</f>
        <v>11.099368597541501</v>
      </c>
      <c r="M23" s="38">
        <f ca="1">8.83092430271304*OFFSET(M$112,MATCH($N$1,$C$112:$C$113,0)-1,0)</f>
        <v>8.83092430271304</v>
      </c>
      <c r="N23" s="38">
        <v>9.3765683742295334</v>
      </c>
      <c r="O23" s="29">
        <f t="shared" ca="1" si="0"/>
        <v>-0.12153301109014764</v>
      </c>
      <c r="P23" s="29">
        <f t="shared" ca="1" si="1"/>
        <v>-0.20126588428592654</v>
      </c>
    </row>
    <row r="24" spans="1:16" ht="18" customHeight="1" x14ac:dyDescent="0.2">
      <c r="A24" s="197"/>
      <c r="B24" s="37" t="s">
        <v>12</v>
      </c>
      <c r="C24" s="38"/>
      <c r="D24" s="38">
        <f ca="1">1.61446872719841*OFFSET(D$112,MATCH($N$1,$C$112:$C$113,0)-1,0)</f>
        <v>1.6144687271984099</v>
      </c>
      <c r="E24" s="38">
        <f ca="1">1.04620826153104*OFFSET(E$112,MATCH($N$1,$C$112:$C$113,0)-1,0)</f>
        <v>1.04620826153104</v>
      </c>
      <c r="F24" s="38">
        <f ca="1">1.77388229777887*OFFSET(F$112,MATCH($N$1,$C$112:$C$113,0)-1,0)</f>
        <v>1.77388229777887</v>
      </c>
      <c r="G24" s="38">
        <f ca="1">1.88166803052102*OFFSET(G$112,MATCH($N$1,$C$112:$C$113,0)-1,0)</f>
        <v>1.8816680305210201</v>
      </c>
      <c r="H24" s="38">
        <f ca="1">1.19070264771864*OFFSET(H$112,MATCH($N$1,$C$112:$C$113,0)-1,0)</f>
        <v>1.19070264771864</v>
      </c>
      <c r="I24" s="38">
        <f ca="1">2.28213339942573*OFFSET(I$112,MATCH($N$1,$C$112:$C$113,0)-1,0)</f>
        <v>2.2821333994257298</v>
      </c>
      <c r="J24" s="38">
        <f ca="1">4.38981969564327*OFFSET(J$112,MATCH($N$1,$C$112:$C$113,0)-1,0)</f>
        <v>4.3898196956432702</v>
      </c>
      <c r="K24" s="38">
        <f ca="1">1.89338118726331*OFFSET(K$112,MATCH($N$1,$C$112:$C$113,0)-1,0)</f>
        <v>1.89338118726331</v>
      </c>
      <c r="L24" s="38">
        <f ca="1">3.26371980850658*OFFSET(L$112,MATCH($N$1,$C$112:$C$113,0)-1,0)</f>
        <v>3.2637198085065799</v>
      </c>
      <c r="M24" s="38">
        <f ca="1">1.60062650412957*OFFSET(M$112,MATCH($N$1,$C$112:$C$113,0)-1,0)</f>
        <v>1.60062650412957</v>
      </c>
      <c r="N24" s="38">
        <v>1.7496329434516085</v>
      </c>
      <c r="O24" s="29">
        <f t="shared" ca="1" si="0"/>
        <v>8.3720553997815236E-2</v>
      </c>
      <c r="P24" s="29">
        <f t="shared" ca="1" si="1"/>
        <v>-0.60143398481991117</v>
      </c>
    </row>
    <row r="25" spans="1:16" ht="18" customHeight="1" x14ac:dyDescent="0.2">
      <c r="A25" s="197"/>
      <c r="B25" s="37" t="s">
        <v>68</v>
      </c>
      <c r="C25" s="33"/>
      <c r="D25" s="33">
        <f ca="1">117.28*OFFSET(D$112,MATCH($N$1,$C$112:$C$113,0)-1,0)</f>
        <v>117.28</v>
      </c>
      <c r="E25" s="33">
        <f ca="1">86.12*OFFSET(E$112,MATCH($N$1,$C$112:$C$113,0)-1,0)</f>
        <v>86.12</v>
      </c>
      <c r="F25" s="33">
        <f ca="1">93.05*OFFSET(F$112,MATCH($N$1,$C$112:$C$113,0)-1,0)</f>
        <v>93.05</v>
      </c>
      <c r="G25" s="33">
        <f ca="1">152.67*OFFSET(G$112,MATCH($N$1,$C$112:$C$113,0)-1,0)</f>
        <v>152.66999999999999</v>
      </c>
      <c r="H25" s="33">
        <f ca="1">100.67*OFFSET(H$112,MATCH($N$1,$C$112:$C$113,0)-1,0)</f>
        <v>100.67</v>
      </c>
      <c r="I25" s="33">
        <f ca="1">147.29*OFFSET(I$112,MATCH($N$1,$C$112:$C$113,0)-1,0)</f>
        <v>147.29</v>
      </c>
      <c r="J25" s="33">
        <f ca="1">170.16*OFFSET(J$112,MATCH($N$1,$C$112:$C$113,0)-1,0)</f>
        <v>170.16</v>
      </c>
      <c r="K25" s="33">
        <f ca="1">106.83*OFFSET(K$112,MATCH($N$1,$C$112:$C$113,0)-1,0)</f>
        <v>106.83</v>
      </c>
      <c r="L25" s="33">
        <f ca="1">203.1*OFFSET(L$112,MATCH($N$1,$C$112:$C$113,0)-1,0)</f>
        <v>203.1</v>
      </c>
      <c r="M25" s="33">
        <f ca="1">135.32*OFFSET(M$112,MATCH($N$1,$C$112:$C$113,0)-1,0)</f>
        <v>135.32</v>
      </c>
      <c r="N25" s="33">
        <v>140.69999999999999</v>
      </c>
      <c r="O25" s="29">
        <f t="shared" ca="1" si="0"/>
        <v>0.19969304229195078</v>
      </c>
      <c r="P25" s="29">
        <f t="shared" ca="1" si="1"/>
        <v>-0.17313117066290556</v>
      </c>
    </row>
    <row r="26" spans="1:16" ht="18" customHeight="1" x14ac:dyDescent="0.2">
      <c r="A26" s="198"/>
      <c r="B26" s="37" t="s">
        <v>69</v>
      </c>
      <c r="C26" s="33"/>
      <c r="D26" s="33">
        <f ca="1">16.59*OFFSET(D$112,MATCH($N$1,$C$112:$C$113,0)-1,0)</f>
        <v>16.59</v>
      </c>
      <c r="E26" s="33">
        <f ca="1">8.87*OFFSET(E$112,MATCH($N$1,$C$112:$C$113,0)-1,0)</f>
        <v>8.8699999999999992</v>
      </c>
      <c r="F26" s="33">
        <f ca="1">16.87*OFFSET(F$112,MATCH($N$1,$C$112:$C$113,0)-1,0)</f>
        <v>16.87</v>
      </c>
      <c r="G26" s="33">
        <f ca="1">25.73*OFFSET(G$112,MATCH($N$1,$C$112:$C$113,0)-1,0)</f>
        <v>25.73</v>
      </c>
      <c r="H26" s="33">
        <f ca="1">13*OFFSET(H$112,MATCH($N$1,$C$112:$C$113,0)-1,0)</f>
        <v>13</v>
      </c>
      <c r="I26" s="33">
        <f ca="1">27.76*OFFSET(I$112,MATCH($N$1,$C$112:$C$113,0)-1,0)</f>
        <v>27.76</v>
      </c>
      <c r="J26" s="33">
        <f ca="1">53.26*OFFSET(J$112,MATCH($N$1,$C$112:$C$113,0)-1,0)</f>
        <v>53.26</v>
      </c>
      <c r="K26" s="33">
        <f ca="1">17.49*OFFSET(K$112,MATCH($N$1,$C$112:$C$113,0)-1,0)</f>
        <v>17.489999999999998</v>
      </c>
      <c r="L26" s="33">
        <f ca="1">48.02*OFFSET(L$112,MATCH($N$1,$C$112:$C$113,0)-1,0)</f>
        <v>48.02</v>
      </c>
      <c r="M26" s="33">
        <f ca="1">22.44*OFFSET(M$112,MATCH($N$1,$C$112:$C$113,0)-1,0)</f>
        <v>22.44</v>
      </c>
      <c r="N26" s="33">
        <v>23.71</v>
      </c>
      <c r="O26" s="34">
        <f t="shared" ca="1" si="0"/>
        <v>0.42917420132610012</v>
      </c>
      <c r="P26" s="34">
        <f t="shared" ca="1" si="1"/>
        <v>-0.55482538490424327</v>
      </c>
    </row>
    <row r="27" spans="1:16" ht="18" customHeight="1" x14ac:dyDescent="0.2">
      <c r="A27" s="187" t="s">
        <v>30</v>
      </c>
      <c r="B27" s="35" t="s">
        <v>63</v>
      </c>
      <c r="C27" s="36"/>
      <c r="D27" s="36">
        <f ca="1">844.9*OFFSET(D$112,MATCH($N$1,$C$112:$C$113,0)-1,0)</f>
        <v>844.9</v>
      </c>
      <c r="E27" s="36">
        <f ca="1">721.1*OFFSET(E$112,MATCH($N$1,$C$112:$C$113,0)-1,0)</f>
        <v>721.1</v>
      </c>
      <c r="F27" s="36">
        <f ca="1">773.7*OFFSET(F$112,MATCH($N$1,$C$112:$C$113,0)-1,0)</f>
        <v>773.7</v>
      </c>
      <c r="G27" s="36">
        <f ca="1">888.8*OFFSET(G$112,MATCH($N$1,$C$112:$C$113,0)-1,0)</f>
        <v>888.8</v>
      </c>
      <c r="H27" s="36">
        <f ca="1">771.8*OFFSET(H$112,MATCH($N$1,$C$112:$C$113,0)-1,0)</f>
        <v>771.8</v>
      </c>
      <c r="I27" s="36">
        <f ca="1">1066.6*OFFSET(I$112,MATCH($N$1,$C$112:$C$113,0)-1,0)</f>
        <v>1066.5999999999999</v>
      </c>
      <c r="J27" s="36">
        <f ca="1">1223.6*OFFSET(J$112,MATCH($N$1,$C$112:$C$113,0)-1,0)</f>
        <v>1223.5999999999999</v>
      </c>
      <c r="K27" s="36">
        <f ca="1">1107.4*OFFSET(K$112,MATCH($N$1,$C$112:$C$113,0)-1,0)</f>
        <v>1107.4000000000001</v>
      </c>
      <c r="L27" s="36">
        <f ca="1">1422.3*OFFSET(L$112,MATCH($N$1,$C$112:$C$113,0)-1,0)</f>
        <v>1422.3</v>
      </c>
      <c r="M27" s="36">
        <f ca="1">840*OFFSET(M$112,MATCH($N$1,$C$112:$C$113,0)-1,0)</f>
        <v>840</v>
      </c>
      <c r="N27" s="36">
        <v>1082.9000000000001</v>
      </c>
      <c r="O27" s="29">
        <f t="shared" ca="1" si="0"/>
        <v>0.28169014084507055</v>
      </c>
      <c r="P27" s="29">
        <f t="shared" ca="1" si="1"/>
        <v>-0.11498855835240261</v>
      </c>
    </row>
    <row r="28" spans="1:16" ht="18" customHeight="1" x14ac:dyDescent="0.2">
      <c r="A28" s="199"/>
      <c r="B28" s="37" t="s">
        <v>70</v>
      </c>
      <c r="C28" s="33"/>
      <c r="D28" s="33">
        <f ca="1">64.6*OFFSET(D$112,MATCH($N$1,$C$112:$C$113,0)-1,0)</f>
        <v>64.599999999999994</v>
      </c>
      <c r="E28" s="33">
        <f ca="1">108.3*OFFSET(E$112,MATCH($N$1,$C$112:$C$113,0)-1,0)</f>
        <v>108.3</v>
      </c>
      <c r="F28" s="33">
        <f ca="1">133.5*OFFSET(F$112,MATCH($N$1,$C$112:$C$113,0)-1,0)</f>
        <v>133.5</v>
      </c>
      <c r="G28" s="33">
        <f ca="1">55.4*OFFSET(G$112,MATCH($N$1,$C$112:$C$113,0)-1,0)</f>
        <v>55.4</v>
      </c>
      <c r="H28" s="33">
        <f ca="1">35.5*OFFSET(H$112,MATCH($N$1,$C$112:$C$113,0)-1,0)</f>
        <v>35.5</v>
      </c>
      <c r="I28" s="33">
        <f ca="1">60.5*OFFSET(I$112,MATCH($N$1,$C$112:$C$113,0)-1,0)</f>
        <v>60.5</v>
      </c>
      <c r="J28" s="33">
        <f ca="1">183.5*OFFSET(J$112,MATCH($N$1,$C$112:$C$113,0)-1,0)</f>
        <v>183.5</v>
      </c>
      <c r="K28" s="33">
        <f ca="1">48*OFFSET(K$112,MATCH($N$1,$C$112:$C$113,0)-1,0)</f>
        <v>48</v>
      </c>
      <c r="L28" s="33">
        <f ca="1">57.8*OFFSET(L$112,MATCH($N$1,$C$112:$C$113,0)-1,0)</f>
        <v>57.8</v>
      </c>
      <c r="M28" s="33">
        <f ca="1">68*OFFSET(M$112,MATCH($N$1,$C$112:$C$113,0)-1,0)</f>
        <v>68</v>
      </c>
      <c r="N28" s="33">
        <v>77.7</v>
      </c>
      <c r="O28" s="29">
        <f t="shared" ca="1" si="0"/>
        <v>0.20278637770897848</v>
      </c>
      <c r="P28" s="29">
        <f t="shared" ca="1" si="1"/>
        <v>-0.57656675749318798</v>
      </c>
    </row>
    <row r="29" spans="1:16" ht="18" customHeight="1" x14ac:dyDescent="0.2">
      <c r="A29" s="199"/>
      <c r="B29" s="42" t="s">
        <v>71</v>
      </c>
      <c r="C29" s="43"/>
      <c r="D29" s="43">
        <f ca="1">909.4*OFFSET(D$112,MATCH($N$1,$C$112:$C$113,0)-1,0)</f>
        <v>909.4</v>
      </c>
      <c r="E29" s="43">
        <f ca="1">829.4*OFFSET(E$112,MATCH($N$1,$C$112:$C$113,0)-1,0)</f>
        <v>829.4</v>
      </c>
      <c r="F29" s="43">
        <f ca="1">907.3*OFFSET(F$112,MATCH($N$1,$C$112:$C$113,0)-1,0)</f>
        <v>907.3</v>
      </c>
      <c r="G29" s="43">
        <f ca="1">944.2*OFFSET(G$112,MATCH($N$1,$C$112:$C$113,0)-1,0)</f>
        <v>944.2</v>
      </c>
      <c r="H29" s="43">
        <f ca="1">807.3*OFFSET(H$112,MATCH($N$1,$C$112:$C$113,0)-1,0)</f>
        <v>807.3</v>
      </c>
      <c r="I29" s="43">
        <f ca="1">1127.1*OFFSET(I$112,MATCH($N$1,$C$112:$C$113,0)-1,0)</f>
        <v>1127.0999999999999</v>
      </c>
      <c r="J29" s="43">
        <f ca="1">1407.1*OFFSET(J$112,MATCH($N$1,$C$112:$C$113,0)-1,0)</f>
        <v>1407.1</v>
      </c>
      <c r="K29" s="43">
        <f ca="1">1155.3*OFFSET(K$112,MATCH($N$1,$C$112:$C$113,0)-1,0)</f>
        <v>1155.3</v>
      </c>
      <c r="L29" s="43">
        <f ca="1">1480.1*OFFSET(L$112,MATCH($N$1,$C$112:$C$113,0)-1,0)</f>
        <v>1480.1</v>
      </c>
      <c r="M29" s="43">
        <f ca="1">908*OFFSET(M$112,MATCH($N$1,$C$112:$C$113,0)-1,0)</f>
        <v>908</v>
      </c>
      <c r="N29" s="43">
        <v>1160.6000000000001</v>
      </c>
      <c r="O29" s="29">
        <f t="shared" ca="1" si="0"/>
        <v>0.27622608313173541</v>
      </c>
      <c r="P29" s="29">
        <f t="shared" ca="1" si="1"/>
        <v>-0.17518300049747693</v>
      </c>
    </row>
    <row r="30" spans="1:16" ht="18" customHeight="1" x14ac:dyDescent="0.2">
      <c r="A30" s="199"/>
      <c r="B30" s="37" t="s">
        <v>72</v>
      </c>
      <c r="C30" s="33"/>
      <c r="D30" s="33">
        <f ca="1">200.2*OFFSET(D$112,MATCH($N$1,$C$112:$C$113,0)-1,0)</f>
        <v>200.2</v>
      </c>
      <c r="E30" s="33">
        <f ca="1">191.3*OFFSET(E$112,MATCH($N$1,$C$112:$C$113,0)-1,0)</f>
        <v>191.3</v>
      </c>
      <c r="F30" s="33">
        <f ca="1">210.2*OFFSET(F$112,MATCH($N$1,$C$112:$C$113,0)-1,0)</f>
        <v>210.2</v>
      </c>
      <c r="G30" s="33">
        <f ca="1">192*OFFSET(G$112,MATCH($N$1,$C$112:$C$113,0)-1,0)</f>
        <v>192</v>
      </c>
      <c r="H30" s="33">
        <f ca="1">140.3*OFFSET(H$112,MATCH($N$1,$C$112:$C$113,0)-1,0)</f>
        <v>140.30000000000001</v>
      </c>
      <c r="I30" s="33">
        <f ca="1">138.4*OFFSET(I$112,MATCH($N$1,$C$112:$C$113,0)-1,0)</f>
        <v>138.4</v>
      </c>
      <c r="J30" s="33">
        <f ca="1">164.9*OFFSET(J$112,MATCH($N$1,$C$112:$C$113,0)-1,0)</f>
        <v>164.9</v>
      </c>
      <c r="K30" s="33">
        <f ca="1">218.3*OFFSET(K$112,MATCH($N$1,$C$112:$C$113,0)-1,0)</f>
        <v>218.3</v>
      </c>
      <c r="L30" s="33">
        <f ca="1">220.3*OFFSET(L$112,MATCH($N$1,$C$112:$C$113,0)-1,0)</f>
        <v>220.3</v>
      </c>
      <c r="M30" s="33">
        <f ca="1">132.5*OFFSET(M$112,MATCH($N$1,$C$112:$C$113,0)-1,0)</f>
        <v>132.5</v>
      </c>
      <c r="N30" s="33">
        <v>197.1</v>
      </c>
      <c r="O30" s="29">
        <f t="shared" ca="1" si="0"/>
        <v>-1.5484515484515456E-2</v>
      </c>
      <c r="P30" s="29">
        <f t="shared" ca="1" si="1"/>
        <v>0.19526986052152812</v>
      </c>
    </row>
    <row r="31" spans="1:16" ht="18" customHeight="1" x14ac:dyDescent="0.2">
      <c r="A31" s="199"/>
      <c r="B31" s="37" t="s">
        <v>73</v>
      </c>
      <c r="C31" s="33"/>
      <c r="D31" s="33">
        <f ca="1">193.4*OFFSET(D$112,MATCH($N$1,$C$112:$C$113,0)-1,0)</f>
        <v>193.4</v>
      </c>
      <c r="E31" s="33">
        <f ca="1">183.5*OFFSET(E$112,MATCH($N$1,$C$112:$C$113,0)-1,0)</f>
        <v>183.5</v>
      </c>
      <c r="F31" s="33">
        <f ca="1">177.1*OFFSET(F$112,MATCH($N$1,$C$112:$C$113,0)-1,0)</f>
        <v>177.1</v>
      </c>
      <c r="G31" s="33">
        <f ca="1">179.4*OFFSET(G$112,MATCH($N$1,$C$112:$C$113,0)-1,0)</f>
        <v>179.4</v>
      </c>
      <c r="H31" s="33">
        <f ca="1">173.8*OFFSET(H$112,MATCH($N$1,$C$112:$C$113,0)-1,0)</f>
        <v>173.8</v>
      </c>
      <c r="I31" s="33">
        <f ca="1">264.7*OFFSET(I$112,MATCH($N$1,$C$112:$C$113,0)-1,0)</f>
        <v>264.7</v>
      </c>
      <c r="J31" s="33">
        <f ca="1">323.4*OFFSET(J$112,MATCH($N$1,$C$112:$C$113,0)-1,0)</f>
        <v>323.39999999999998</v>
      </c>
      <c r="K31" s="33">
        <f ca="1">281.2*OFFSET(K$112,MATCH($N$1,$C$112:$C$113,0)-1,0)</f>
        <v>281.2</v>
      </c>
      <c r="L31" s="33">
        <f ca="1">358.3*OFFSET(L$112,MATCH($N$1,$C$112:$C$113,0)-1,0)</f>
        <v>358.3</v>
      </c>
      <c r="M31" s="33">
        <f ca="1">236.8*OFFSET(M$112,MATCH($N$1,$C$112:$C$113,0)-1,0)</f>
        <v>236.8</v>
      </c>
      <c r="N31" s="33">
        <v>293</v>
      </c>
      <c r="O31" s="29">
        <f t="shared" ca="1" si="0"/>
        <v>0.51499482936918295</v>
      </c>
      <c r="P31" s="29">
        <f t="shared" ca="1" si="1"/>
        <v>-9.4001236858379647E-2</v>
      </c>
    </row>
    <row r="32" spans="1:16" ht="18" customHeight="1" x14ac:dyDescent="0.2">
      <c r="A32" s="199"/>
      <c r="B32" s="37" t="s">
        <v>74</v>
      </c>
      <c r="C32" s="33"/>
      <c r="D32" s="33">
        <f ca="1">209.6*OFFSET(D$112,MATCH($N$1,$C$112:$C$113,0)-1,0)</f>
        <v>209.6</v>
      </c>
      <c r="E32" s="33">
        <f ca="1">204.8*OFFSET(E$112,MATCH($N$1,$C$112:$C$113,0)-1,0)</f>
        <v>204.8</v>
      </c>
      <c r="F32" s="33">
        <f ca="1">186.5*OFFSET(F$112,MATCH($N$1,$C$112:$C$113,0)-1,0)</f>
        <v>186.5</v>
      </c>
      <c r="G32" s="33">
        <f ca="1">231.4*OFFSET(G$112,MATCH($N$1,$C$112:$C$113,0)-1,0)</f>
        <v>231.4</v>
      </c>
      <c r="H32" s="33">
        <f ca="1">232.3*OFFSET(H$112,MATCH($N$1,$C$112:$C$113,0)-1,0)</f>
        <v>232.3</v>
      </c>
      <c r="I32" s="33">
        <f ca="1">320.2*OFFSET(I$112,MATCH($N$1,$C$112:$C$113,0)-1,0)</f>
        <v>320.2</v>
      </c>
      <c r="J32" s="33">
        <f ca="1">345.6*OFFSET(J$112,MATCH($N$1,$C$112:$C$113,0)-1,0)</f>
        <v>345.6</v>
      </c>
      <c r="K32" s="33">
        <f ca="1">283.7*OFFSET(K$112,MATCH($N$1,$C$112:$C$113,0)-1,0)</f>
        <v>283.7</v>
      </c>
      <c r="L32" s="33">
        <f ca="1">327.5*OFFSET(L$112,MATCH($N$1,$C$112:$C$113,0)-1,0)</f>
        <v>327.5</v>
      </c>
      <c r="M32" s="33">
        <f ca="1">197.4*OFFSET(M$112,MATCH($N$1,$C$112:$C$113,0)-1,0)</f>
        <v>197.4</v>
      </c>
      <c r="N32" s="33">
        <v>254.5</v>
      </c>
      <c r="O32" s="29">
        <f t="shared" ca="1" si="0"/>
        <v>0.21421755725190844</v>
      </c>
      <c r="P32" s="29">
        <f t="shared" ca="1" si="1"/>
        <v>-0.26359953703703709</v>
      </c>
    </row>
    <row r="33" spans="1:16" ht="18" customHeight="1" x14ac:dyDescent="0.2">
      <c r="A33" s="199"/>
      <c r="B33" s="37" t="s">
        <v>75</v>
      </c>
      <c r="C33" s="33"/>
      <c r="D33" s="33">
        <f ca="1">603.2*OFFSET(D$112,MATCH($N$1,$C$112:$C$113,0)-1,0)</f>
        <v>603.20000000000005</v>
      </c>
      <c r="E33" s="33">
        <f ca="1">579.6*OFFSET(E$112,MATCH($N$1,$C$112:$C$113,0)-1,0)</f>
        <v>579.6</v>
      </c>
      <c r="F33" s="33">
        <f ca="1">573.8*OFFSET(F$112,MATCH($N$1,$C$112:$C$113,0)-1,0)</f>
        <v>573.79999999999995</v>
      </c>
      <c r="G33" s="33">
        <f ca="1">602.7*OFFSET(G$112,MATCH($N$1,$C$112:$C$113,0)-1,0)</f>
        <v>602.70000000000005</v>
      </c>
      <c r="H33" s="33">
        <f ca="1">546.4*OFFSET(H$112,MATCH($N$1,$C$112:$C$113,0)-1,0)</f>
        <v>546.4</v>
      </c>
      <c r="I33" s="33">
        <f ca="1">723.4*OFFSET(I$112,MATCH($N$1,$C$112:$C$113,0)-1,0)</f>
        <v>723.4</v>
      </c>
      <c r="J33" s="33">
        <f ca="1">833.8*OFFSET(J$112,MATCH($N$1,$C$112:$C$113,0)-1,0)</f>
        <v>833.8</v>
      </c>
      <c r="K33" s="33">
        <f ca="1">783.2*OFFSET(K$112,MATCH($N$1,$C$112:$C$113,0)-1,0)</f>
        <v>783.2</v>
      </c>
      <c r="L33" s="33">
        <f ca="1">906*OFFSET(L$112,MATCH($N$1,$C$112:$C$113,0)-1,0)</f>
        <v>906</v>
      </c>
      <c r="M33" s="33">
        <f ca="1">566.7*OFFSET(M$112,MATCH($N$1,$C$112:$C$113,0)-1,0)</f>
        <v>566.70000000000005</v>
      </c>
      <c r="N33" s="33">
        <v>744.7</v>
      </c>
      <c r="O33" s="29">
        <f t="shared" ca="1" si="0"/>
        <v>0.23458222811671087</v>
      </c>
      <c r="P33" s="29">
        <f t="shared" ca="1" si="1"/>
        <v>-0.10686015831134554</v>
      </c>
    </row>
    <row r="34" spans="1:16" ht="18" customHeight="1" x14ac:dyDescent="0.2">
      <c r="A34" s="199"/>
      <c r="B34" s="37" t="s">
        <v>76</v>
      </c>
      <c r="C34" s="33"/>
      <c r="D34" s="33">
        <f ca="1">186.7*OFFSET(D$112,MATCH($N$1,$C$112:$C$113,0)-1,0)</f>
        <v>186.7</v>
      </c>
      <c r="E34" s="33">
        <f ca="1">175.5*OFFSET(E$112,MATCH($N$1,$C$112:$C$113,0)-1,0)</f>
        <v>175.5</v>
      </c>
      <c r="F34" s="33">
        <f ca="1">193.1*OFFSET(F$112,MATCH($N$1,$C$112:$C$113,0)-1,0)</f>
        <v>193.1</v>
      </c>
      <c r="G34" s="33">
        <f ca="1">191.8*OFFSET(G$112,MATCH($N$1,$C$112:$C$113,0)-1,0)</f>
        <v>191.8</v>
      </c>
      <c r="H34" s="33">
        <f ca="1">161.2*OFFSET(H$112,MATCH($N$1,$C$112:$C$113,0)-1,0)</f>
        <v>161.19999999999999</v>
      </c>
      <c r="I34" s="33">
        <f ca="1">202.7*OFFSET(I$112,MATCH($N$1,$C$112:$C$113,0)-1,0)</f>
        <v>202.7</v>
      </c>
      <c r="J34" s="33">
        <f ca="1">190.3*OFFSET(J$112,MATCH($N$1,$C$112:$C$113,0)-1,0)</f>
        <v>190.3</v>
      </c>
      <c r="K34" s="33">
        <f ca="1">190.8*OFFSET(K$112,MATCH($N$1,$C$112:$C$113,0)-1,0)</f>
        <v>190.8</v>
      </c>
      <c r="L34" s="33">
        <f ca="1">237.8*OFFSET(L$112,MATCH($N$1,$C$112:$C$113,0)-1,0)</f>
        <v>237.8</v>
      </c>
      <c r="M34" s="33">
        <f ca="1">202*OFFSET(M$112,MATCH($N$1,$C$112:$C$113,0)-1,0)</f>
        <v>202</v>
      </c>
      <c r="N34" s="33">
        <v>233.4</v>
      </c>
      <c r="O34" s="29">
        <f t="shared" ca="1" si="0"/>
        <v>0.25013390465988228</v>
      </c>
      <c r="P34" s="29">
        <f t="shared" ca="1" si="1"/>
        <v>0.22648449816079869</v>
      </c>
    </row>
    <row r="35" spans="1:16" ht="18" customHeight="1" x14ac:dyDescent="0.2">
      <c r="A35" s="199"/>
      <c r="B35" s="37" t="s">
        <v>77</v>
      </c>
      <c r="C35" s="33"/>
      <c r="D35" s="33">
        <f ca="1">789.9*OFFSET(D$112,MATCH($N$1,$C$112:$C$113,0)-1,0)</f>
        <v>789.9</v>
      </c>
      <c r="E35" s="33">
        <f ca="1">755.1*OFFSET(E$112,MATCH($N$1,$C$112:$C$113,0)-1,0)</f>
        <v>755.1</v>
      </c>
      <c r="F35" s="33">
        <f ca="1">766.9*OFFSET(F$112,MATCH($N$1,$C$112:$C$113,0)-1,0)</f>
        <v>766.9</v>
      </c>
      <c r="G35" s="33">
        <f ca="1">794.5*OFFSET(G$112,MATCH($N$1,$C$112:$C$113,0)-1,0)</f>
        <v>794.5</v>
      </c>
      <c r="H35" s="33">
        <f ca="1">707.6*OFFSET(H$112,MATCH($N$1,$C$112:$C$113,0)-1,0)</f>
        <v>707.6</v>
      </c>
      <c r="I35" s="33">
        <f ca="1">926.1*OFFSET(I$112,MATCH($N$1,$C$112:$C$113,0)-1,0)</f>
        <v>926.1</v>
      </c>
      <c r="J35" s="33">
        <f ca="1">1024.2*OFFSET(J$112,MATCH($N$1,$C$112:$C$113,0)-1,0)</f>
        <v>1024.2</v>
      </c>
      <c r="K35" s="33">
        <f ca="1">974*OFFSET(K$112,MATCH($N$1,$C$112:$C$113,0)-1,0)</f>
        <v>974</v>
      </c>
      <c r="L35" s="33">
        <f ca="1">1143.8*OFFSET(L$112,MATCH($N$1,$C$112:$C$113,0)-1,0)</f>
        <v>1143.8</v>
      </c>
      <c r="M35" s="33">
        <f ca="1">768.7*OFFSET(M$112,MATCH($N$1,$C$112:$C$113,0)-1,0)</f>
        <v>768.7</v>
      </c>
      <c r="N35" s="33">
        <v>978.1</v>
      </c>
      <c r="O35" s="29">
        <f t="shared" ca="1" si="0"/>
        <v>0.23825800734270167</v>
      </c>
      <c r="P35" s="29">
        <f t="shared" ca="1" si="1"/>
        <v>-4.5010740089826223E-2</v>
      </c>
    </row>
    <row r="36" spans="1:16" ht="18" customHeight="1" x14ac:dyDescent="0.2">
      <c r="A36" s="199"/>
      <c r="B36" s="42" t="s">
        <v>78</v>
      </c>
      <c r="C36" s="43"/>
      <c r="D36" s="43">
        <f ca="1">312.9*OFFSET(D$112,MATCH($N$1,$C$112:$C$113,0)-1,0)</f>
        <v>312.89999999999998</v>
      </c>
      <c r="E36" s="43">
        <f ca="1">257.8*OFFSET(E$112,MATCH($N$1,$C$112:$C$113,0)-1,0)</f>
        <v>257.8</v>
      </c>
      <c r="F36" s="43">
        <f ca="1">317.4*OFFSET(F$112,MATCH($N$1,$C$112:$C$113,0)-1,0)</f>
        <v>317.39999999999998</v>
      </c>
      <c r="G36" s="43">
        <f ca="1">329.2*OFFSET(G$112,MATCH($N$1,$C$112:$C$113,0)-1,0)</f>
        <v>329.2</v>
      </c>
      <c r="H36" s="43">
        <f ca="1">273.5*OFFSET(H$112,MATCH($N$1,$C$112:$C$113,0)-1,0)</f>
        <v>273.5</v>
      </c>
      <c r="I36" s="43">
        <f ca="1">465.7*OFFSET(I$112,MATCH($N$1,$C$112:$C$113,0)-1,0)</f>
        <v>465.7</v>
      </c>
      <c r="J36" s="43">
        <f ca="1">706.4*OFFSET(J$112,MATCH($N$1,$C$112:$C$113,0)-1,0)</f>
        <v>706.4</v>
      </c>
      <c r="K36" s="43">
        <f ca="1">462.5*OFFSET(K$112,MATCH($N$1,$C$112:$C$113,0)-1,0)</f>
        <v>462.5</v>
      </c>
      <c r="L36" s="43">
        <f ca="1">694.6*OFFSET(L$112,MATCH($N$1,$C$112:$C$113,0)-1,0)</f>
        <v>694.6</v>
      </c>
      <c r="M36" s="43">
        <f ca="1">376.1*OFFSET(M$112,MATCH($N$1,$C$112:$C$113,0)-1,0)</f>
        <v>376.1</v>
      </c>
      <c r="N36" s="43">
        <v>475.5</v>
      </c>
      <c r="O36" s="29">
        <f t="shared" ca="1" si="0"/>
        <v>0.51965484180249288</v>
      </c>
      <c r="P36" s="29">
        <f t="shared" ca="1" si="1"/>
        <v>-0.32686862967157415</v>
      </c>
    </row>
    <row r="37" spans="1:16" ht="18" customHeight="1" x14ac:dyDescent="0.2">
      <c r="A37" s="199"/>
      <c r="B37" s="42" t="s">
        <v>79</v>
      </c>
      <c r="C37" s="43"/>
      <c r="D37" s="43">
        <f ca="1">119.5*OFFSET(D$112,MATCH($N$1,$C$112:$C$113,0)-1,0)</f>
        <v>119.5</v>
      </c>
      <c r="E37" s="43">
        <f ca="1">74.3*OFFSET(E$112,MATCH($N$1,$C$112:$C$113,0)-1,0)</f>
        <v>74.3</v>
      </c>
      <c r="F37" s="43">
        <f ca="1">140.3*OFFSET(F$112,MATCH($N$1,$C$112:$C$113,0)-1,0)</f>
        <v>140.30000000000001</v>
      </c>
      <c r="G37" s="43">
        <f ca="1">149.8*OFFSET(G$112,MATCH($N$1,$C$112:$C$113,0)-1,0)</f>
        <v>149.80000000000001</v>
      </c>
      <c r="H37" s="43">
        <f ca="1">99.7*OFFSET(H$112,MATCH($N$1,$C$112:$C$113,0)-1,0)</f>
        <v>99.7</v>
      </c>
      <c r="I37" s="43">
        <f ca="1">201*OFFSET(I$112,MATCH($N$1,$C$112:$C$113,0)-1,0)</f>
        <v>201</v>
      </c>
      <c r="J37" s="43">
        <f ca="1">383*OFFSET(J$112,MATCH($N$1,$C$112:$C$113,0)-1,0)</f>
        <v>383</v>
      </c>
      <c r="K37" s="43">
        <f ca="1">181.3*OFFSET(K$112,MATCH($N$1,$C$112:$C$113,0)-1,0)</f>
        <v>181.3</v>
      </c>
      <c r="L37" s="43">
        <f ca="1">336.3*OFFSET(L$112,MATCH($N$1,$C$112:$C$113,0)-1,0)</f>
        <v>336.3</v>
      </c>
      <c r="M37" s="43">
        <f ca="1">139.3*OFFSET(M$112,MATCH($N$1,$C$112:$C$113,0)-1,0)</f>
        <v>139.30000000000001</v>
      </c>
      <c r="N37" s="43">
        <v>182.5</v>
      </c>
      <c r="O37" s="29">
        <f t="shared" ca="1" si="0"/>
        <v>0.52719665271966532</v>
      </c>
      <c r="P37" s="29">
        <f t="shared" ca="1" si="1"/>
        <v>-0.52349869451697129</v>
      </c>
    </row>
    <row r="38" spans="1:16" ht="18" customHeight="1" x14ac:dyDescent="0.2">
      <c r="A38" s="199"/>
      <c r="B38" s="37" t="s">
        <v>80</v>
      </c>
      <c r="C38" s="33"/>
      <c r="D38" s="33">
        <f ca="1">54.3*OFFSET(D$112,MATCH($N$1,$C$112:$C$113,0)-1,0)</f>
        <v>54.3</v>
      </c>
      <c r="E38" s="33">
        <f ca="1">43.3*OFFSET(E$112,MATCH($N$1,$C$112:$C$113,0)-1,0)</f>
        <v>43.3</v>
      </c>
      <c r="F38" s="33">
        <f ca="1">53.3*OFFSET(F$112,MATCH($N$1,$C$112:$C$113,0)-1,0)</f>
        <v>53.3</v>
      </c>
      <c r="G38" s="33">
        <f ca="1">54.2*OFFSET(G$112,MATCH($N$1,$C$112:$C$113,0)-1,0)</f>
        <v>54.2</v>
      </c>
      <c r="H38" s="33">
        <f ca="1">39.6*OFFSET(H$112,MATCH($N$1,$C$112:$C$113,0)-1,0)</f>
        <v>39.6</v>
      </c>
      <c r="I38" s="33">
        <f ca="1">36.6*OFFSET(I$112,MATCH($N$1,$C$112:$C$113,0)-1,0)</f>
        <v>36.6</v>
      </c>
      <c r="J38" s="33">
        <f ca="1">43.1*OFFSET(J$112,MATCH($N$1,$C$112:$C$113,0)-1,0)</f>
        <v>43.1</v>
      </c>
      <c r="K38" s="33">
        <f ca="1">60.2*OFFSET(K$112,MATCH($N$1,$C$112:$C$113,0)-1,0)</f>
        <v>60.2</v>
      </c>
      <c r="L38" s="33">
        <f ca="1">69.7*OFFSET(L$112,MATCH($N$1,$C$112:$C$113,0)-1,0)</f>
        <v>69.7</v>
      </c>
      <c r="M38" s="33">
        <f ca="1">56.8*OFFSET(M$112,MATCH($N$1,$C$112:$C$113,0)-1,0)</f>
        <v>56.8</v>
      </c>
      <c r="N38" s="33"/>
      <c r="O38" s="29" t="str">
        <f t="shared" si="0"/>
        <v/>
      </c>
      <c r="P38" s="29" t="str">
        <f t="shared" si="1"/>
        <v/>
      </c>
    </row>
    <row r="39" spans="1:16" ht="18" customHeight="1" x14ac:dyDescent="0.2">
      <c r="A39" s="199"/>
      <c r="B39" s="37" t="s">
        <v>81</v>
      </c>
      <c r="C39" s="33"/>
      <c r="D39" s="33">
        <f ca="1">12.9*OFFSET(D$112,MATCH($N$1,$C$112:$C$113,0)-1,0)</f>
        <v>12.9</v>
      </c>
      <c r="E39" s="33">
        <f ca="1">21.5*OFFSET(E$112,MATCH($N$1,$C$112:$C$113,0)-1,0)</f>
        <v>21.5</v>
      </c>
      <c r="F39" s="33">
        <f ca="1">11.5*OFFSET(F$112,MATCH($N$1,$C$112:$C$113,0)-1,0)</f>
        <v>11.5</v>
      </c>
      <c r="G39" s="33">
        <f ca="1">10.9*OFFSET(G$112,MATCH($N$1,$C$112:$C$113,0)-1,0)</f>
        <v>10.9</v>
      </c>
      <c r="H39" s="33">
        <f ca="1">10.6*OFFSET(H$112,MATCH($N$1,$C$112:$C$113,0)-1,0)</f>
        <v>10.6</v>
      </c>
      <c r="I39" s="33">
        <f ca="1">9.2*OFFSET(I$112,MATCH($N$1,$C$112:$C$113,0)-1,0)</f>
        <v>9.1999999999999993</v>
      </c>
      <c r="J39" s="33">
        <f ca="1">7.3*OFFSET(J$112,MATCH($N$1,$C$112:$C$113,0)-1,0)</f>
        <v>7.3</v>
      </c>
      <c r="K39" s="33">
        <f ca="1">7.6*OFFSET(K$112,MATCH($N$1,$C$112:$C$113,0)-1,0)</f>
        <v>7.6</v>
      </c>
      <c r="L39" s="33">
        <f ca="1">12.4*OFFSET(L$112,MATCH($N$1,$C$112:$C$113,0)-1,0)</f>
        <v>12.4</v>
      </c>
      <c r="M39" s="33">
        <f ca="1">9.7*OFFSET(M$112,MATCH($N$1,$C$112:$C$113,0)-1,0)</f>
        <v>9.6999999999999993</v>
      </c>
      <c r="N39" s="33"/>
      <c r="O39" s="29" t="str">
        <f t="shared" si="0"/>
        <v/>
      </c>
      <c r="P39" s="29" t="str">
        <f t="shared" si="1"/>
        <v/>
      </c>
    </row>
    <row r="40" spans="1:16" ht="18" customHeight="1" x14ac:dyDescent="0.2">
      <c r="A40" s="199"/>
      <c r="B40" s="37" t="s">
        <v>82</v>
      </c>
      <c r="C40" s="33"/>
      <c r="D40" s="33">
        <f ca="1">7.2*OFFSET(D$112,MATCH($N$1,$C$112:$C$113,0)-1,0)</f>
        <v>7.2</v>
      </c>
      <c r="E40" s="33">
        <f ca="1">1*OFFSET(E$112,MATCH($N$1,$C$112:$C$113,0)-1,0)</f>
        <v>1</v>
      </c>
      <c r="F40" s="33">
        <f ca="1">4.1*OFFSET(F$112,MATCH($N$1,$C$112:$C$113,0)-1,0)</f>
        <v>4.0999999999999996</v>
      </c>
      <c r="G40" s="33">
        <f ca="1">5.6*OFFSET(G$112,MATCH($N$1,$C$112:$C$113,0)-1,0)</f>
        <v>5.6</v>
      </c>
      <c r="H40" s="33">
        <f ca="1">3*OFFSET(H$112,MATCH($N$1,$C$112:$C$113,0)-1,0)</f>
        <v>3</v>
      </c>
      <c r="I40" s="33">
        <f ca="1">2.3*OFFSET(I$112,MATCH($N$1,$C$112:$C$113,0)-1,0)</f>
        <v>2.2999999999999998</v>
      </c>
      <c r="J40" s="33">
        <f ca="1">8.8*OFFSET(J$112,MATCH($N$1,$C$112:$C$113,0)-1,0)</f>
        <v>8.8000000000000007</v>
      </c>
      <c r="K40" s="33">
        <f ca="1">3.6*OFFSET(K$112,MATCH($N$1,$C$112:$C$113,0)-1,0)</f>
        <v>3.6</v>
      </c>
      <c r="L40" s="33">
        <f ca="1">5*OFFSET(L$112,MATCH($N$1,$C$112:$C$113,0)-1,0)</f>
        <v>5</v>
      </c>
      <c r="M40" s="33">
        <f ca="1">20.2*OFFSET(M$112,MATCH($N$1,$C$112:$C$113,0)-1,0)</f>
        <v>20.2</v>
      </c>
      <c r="N40" s="33"/>
      <c r="O40" s="29" t="str">
        <f t="shared" si="0"/>
        <v/>
      </c>
      <c r="P40" s="29" t="str">
        <f t="shared" si="1"/>
        <v/>
      </c>
    </row>
    <row r="41" spans="1:16" ht="18" customHeight="1" thickBot="1" x14ac:dyDescent="0.25">
      <c r="A41" s="200"/>
      <c r="B41" s="44" t="s">
        <v>83</v>
      </c>
      <c r="C41" s="45"/>
      <c r="D41" s="45">
        <f ca="1">45.1*OFFSET(D$112,MATCH($N$1,$C$112:$C$113,0)-1,0)</f>
        <v>45.1</v>
      </c>
      <c r="E41" s="45">
        <f ca="1">8.6*OFFSET(E$112,MATCH($N$1,$C$112:$C$113,0)-1,0)</f>
        <v>8.6</v>
      </c>
      <c r="F41" s="45">
        <f ca="1">71.4*OFFSET(F$112,MATCH($N$1,$C$112:$C$113,0)-1,0)</f>
        <v>71.400000000000006</v>
      </c>
      <c r="G41" s="45">
        <f ca="1">79*OFFSET(G$112,MATCH($N$1,$C$112:$C$113,0)-1,0)</f>
        <v>79</v>
      </c>
      <c r="H41" s="45">
        <f ca="1">46.5*OFFSET(H$112,MATCH($N$1,$C$112:$C$113,0)-1,0)</f>
        <v>46.5</v>
      </c>
      <c r="I41" s="45">
        <f ca="1">152.8*OFFSET(I$112,MATCH($N$1,$C$112:$C$113,0)-1,0)</f>
        <v>152.80000000000001</v>
      </c>
      <c r="J41" s="45">
        <f ca="1">323.8*OFFSET(J$112,MATCH($N$1,$C$112:$C$113,0)-1,0)</f>
        <v>323.8</v>
      </c>
      <c r="K41" s="45">
        <f ca="1">109.9*OFFSET(K$112,MATCH($N$1,$C$112:$C$113,0)-1,0)</f>
        <v>109.9</v>
      </c>
      <c r="L41" s="45">
        <f ca="1">249.3*OFFSET(L$112,MATCH($N$1,$C$112:$C$113,0)-1,0)</f>
        <v>249.3</v>
      </c>
      <c r="M41" s="45">
        <f ca="1">44.8*OFFSET(M$112,MATCH($N$1,$C$112:$C$113,0)-1,0)</f>
        <v>44.8</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22</v>
      </c>
      <c r="F46" s="94" t="s">
        <v>130</v>
      </c>
      <c r="G46" s="94" t="s">
        <v>22</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NSWOS demersal under 24m over 300kW</v>
      </c>
      <c r="C48" s="96"/>
      <c r="D48" s="96"/>
      <c r="E48" s="96"/>
      <c r="F48" s="96"/>
      <c r="G48" s="96"/>
      <c r="K48" s="96" t="str">
        <f>$B24&amp;CHAR(10)&amp;$A$1</f>
        <v>Operating profit per kW day at sea (£)
NSWOS demersal under 24m over 300kW</v>
      </c>
    </row>
    <row r="49" spans="1:11" s="82" customFormat="1" x14ac:dyDescent="0.2">
      <c r="A49" s="96" t="str">
        <f>$B22&amp;CHAR(10)&amp;$A$1</f>
        <v>Fishing income per kW day at sea (£)
NSWOS demersal under 24m over 300kW</v>
      </c>
    </row>
    <row r="50" spans="1:11" s="82" customFormat="1" x14ac:dyDescent="0.2">
      <c r="A50" s="96" t="str">
        <f>$B20&amp;CHAR(10)&amp;$A$1</f>
        <v>Average price per tonne landed (£)
NSWOS demersal under 24m over 300kW</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NSWOS demersal under 24m over 300kW</v>
      </c>
      <c r="F62" s="96" t="str">
        <f>$B20&amp;CHAR(10)&amp;$A$1</f>
        <v>Average price per tonne landed (£)
NSWOS demersal under 24m over 300kW</v>
      </c>
      <c r="K62" s="96" t="str">
        <f>"Average annual operating profit per vessel (£'000)"&amp;CHAR(10)&amp;$A$1</f>
        <v>Average annual operating profit per vessel (£'000)
NSWOS demersal under 24m over 300kW</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NSWOS demersal under 24m over 300kW</v>
      </c>
      <c r="F76" s="96" t="str">
        <f>"Top 5 landed species by value in "&amp;A77&amp;CHAR(10)&amp;A1</f>
        <v>Top 5 landed species by value in 2020
NSWOS demersal under 24m over 300kW</v>
      </c>
    </row>
    <row r="77" spans="1:11" s="96" customFormat="1" x14ac:dyDescent="0.2">
      <c r="A77" s="96">
        <v>2020</v>
      </c>
      <c r="B77" s="96" t="s">
        <v>355</v>
      </c>
      <c r="C77" s="97">
        <v>0.21237760554898133</v>
      </c>
      <c r="D77" s="98">
        <v>12153634</v>
      </c>
      <c r="G77" s="96" t="s">
        <v>356</v>
      </c>
      <c r="H77" s="97">
        <v>0.28531674474796437</v>
      </c>
      <c r="I77" s="98">
        <v>12153634</v>
      </c>
      <c r="K77" s="96" t="s">
        <v>87</v>
      </c>
    </row>
    <row r="78" spans="1:11" s="96" customFormat="1" x14ac:dyDescent="0.2">
      <c r="B78" s="96" t="s">
        <v>357</v>
      </c>
      <c r="C78" s="97">
        <v>0.17018130402730616</v>
      </c>
      <c r="D78" s="98">
        <v>3689192</v>
      </c>
      <c r="G78" s="96" t="s">
        <v>358</v>
      </c>
      <c r="H78" s="97">
        <v>0.14071127013819842</v>
      </c>
      <c r="I78" s="98">
        <v>553960</v>
      </c>
    </row>
    <row r="79" spans="1:11" s="96" customFormat="1" x14ac:dyDescent="0.2">
      <c r="B79" s="96" t="s">
        <v>359</v>
      </c>
      <c r="C79" s="97">
        <v>0.11228849535061095</v>
      </c>
      <c r="D79" s="98">
        <v>11115023</v>
      </c>
      <c r="G79" s="96" t="s">
        <v>360</v>
      </c>
      <c r="H79" s="97">
        <v>0.13323260698703052</v>
      </c>
      <c r="I79" s="98">
        <v>3050596</v>
      </c>
    </row>
    <row r="80" spans="1:11" s="96" customFormat="1" x14ac:dyDescent="0.2">
      <c r="B80" s="96" t="s">
        <v>361</v>
      </c>
      <c r="C80" s="97">
        <v>0.1015419355784993</v>
      </c>
      <c r="D80" s="98">
        <v>553960</v>
      </c>
      <c r="G80" s="96" t="s">
        <v>362</v>
      </c>
      <c r="H80" s="97">
        <v>0.10286747976910593</v>
      </c>
      <c r="I80" s="98">
        <v>1692097</v>
      </c>
    </row>
    <row r="81" spans="1:19" s="96" customFormat="1" x14ac:dyDescent="0.2">
      <c r="B81" s="96" t="s">
        <v>363</v>
      </c>
      <c r="C81" s="97">
        <v>8.2596275189939811E-2</v>
      </c>
      <c r="D81" s="98">
        <v>3050596</v>
      </c>
      <c r="G81" s="96" t="s">
        <v>364</v>
      </c>
      <c r="H81" s="97">
        <v>0.10063850581152206</v>
      </c>
      <c r="I81" s="98">
        <v>3689192</v>
      </c>
    </row>
    <row r="82" spans="1:19" s="96" customFormat="1" x14ac:dyDescent="0.2">
      <c r="B82" s="96" t="s">
        <v>365</v>
      </c>
      <c r="C82" s="97">
        <v>0.32101438430466245</v>
      </c>
      <c r="D82" s="98">
        <v>5920853</v>
      </c>
      <c r="G82" s="96" t="s">
        <v>366</v>
      </c>
      <c r="H82" s="97">
        <v>0.2372333925461787</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143</v>
      </c>
      <c r="D92" s="102">
        <v>0.22342946283437493</v>
      </c>
      <c r="E92" s="102">
        <v>0.20586088664087801</v>
      </c>
      <c r="F92" s="102">
        <v>0.20885299978592098</v>
      </c>
      <c r="G92" s="102">
        <v>0.25508867845839367</v>
      </c>
      <c r="H92" s="102">
        <v>0.29532353105989179</v>
      </c>
      <c r="I92" s="102">
        <v>0.28356364999439376</v>
      </c>
      <c r="J92" s="102">
        <v>0.27400465491906034</v>
      </c>
      <c r="K92" s="102">
        <v>0.25441751949445529</v>
      </c>
      <c r="L92" s="102">
        <v>0.28531674474796437</v>
      </c>
      <c r="M92" s="102">
        <v>0.32904221994584265</v>
      </c>
      <c r="O92" s="96">
        <v>12153634</v>
      </c>
    </row>
    <row r="93" spans="1:19" s="96" customFormat="1" hidden="1" x14ac:dyDescent="0.2">
      <c r="B93" s="96">
        <v>2</v>
      </c>
      <c r="C93" s="96" t="s">
        <v>98</v>
      </c>
      <c r="D93" s="102">
        <v>0.14886688922781699</v>
      </c>
      <c r="E93" s="102">
        <v>0.1392130912196477</v>
      </c>
      <c r="F93" s="102">
        <v>0.15020085804199765</v>
      </c>
      <c r="G93" s="102">
        <v>0.14744146143074563</v>
      </c>
      <c r="H93" s="102">
        <v>0.15335816214068138</v>
      </c>
      <c r="I93" s="102">
        <v>0.16635584973178852</v>
      </c>
      <c r="J93" s="102">
        <v>0.16794401591349684</v>
      </c>
      <c r="K93" s="102">
        <v>0.21812396051993727</v>
      </c>
      <c r="L93" s="102">
        <v>0.14071127013819842</v>
      </c>
      <c r="M93" s="102">
        <v>0.12848032862311887</v>
      </c>
      <c r="O93" s="96">
        <v>553960</v>
      </c>
    </row>
    <row r="94" spans="1:19" s="96" customFormat="1" hidden="1" x14ac:dyDescent="0.2">
      <c r="B94" s="96">
        <v>3</v>
      </c>
      <c r="C94" s="96" t="s">
        <v>175</v>
      </c>
      <c r="D94" s="102">
        <v>0.11949410818006052</v>
      </c>
      <c r="E94" s="102">
        <v>9.2661210214459305E-2</v>
      </c>
      <c r="F94" s="102">
        <v>7.7703531947885845E-2</v>
      </c>
      <c r="G94" s="102">
        <v>5.6568036055150386E-2</v>
      </c>
      <c r="H94" s="102"/>
      <c r="I94" s="102">
        <v>6.0540763078732449E-2</v>
      </c>
      <c r="J94" s="102">
        <v>6.3180935807107375E-2</v>
      </c>
      <c r="K94" s="102">
        <v>8.8788185714813408E-2</v>
      </c>
      <c r="L94" s="102">
        <v>0.13323260698703052</v>
      </c>
      <c r="M94" s="102">
        <v>0.14077952874805871</v>
      </c>
      <c r="O94" s="96">
        <v>3050596</v>
      </c>
    </row>
    <row r="95" spans="1:19" s="96" customFormat="1" hidden="1" x14ac:dyDescent="0.2">
      <c r="B95" s="96">
        <v>4</v>
      </c>
      <c r="C95" s="96" t="s">
        <v>102</v>
      </c>
      <c r="D95" s="102">
        <v>0.12407887108021337</v>
      </c>
      <c r="E95" s="102">
        <v>0.10786903147891962</v>
      </c>
      <c r="F95" s="102">
        <v>0.12698797115171784</v>
      </c>
      <c r="G95" s="102">
        <v>0.14539436123514304</v>
      </c>
      <c r="H95" s="102">
        <v>0.10490004783077564</v>
      </c>
      <c r="I95" s="102">
        <v>0.10955828760579243</v>
      </c>
      <c r="J95" s="102">
        <v>0.15147339554078243</v>
      </c>
      <c r="K95" s="102">
        <v>8.1327728710695851E-2</v>
      </c>
      <c r="L95" s="102">
        <v>0.10286747976910593</v>
      </c>
      <c r="M95" s="102">
        <v>0.10664638499646206</v>
      </c>
      <c r="O95" s="96">
        <v>1692097</v>
      </c>
    </row>
    <row r="96" spans="1:19" s="96" customFormat="1" hidden="1" x14ac:dyDescent="0.2">
      <c r="B96" s="96">
        <v>5</v>
      </c>
      <c r="C96" s="96" t="s">
        <v>20</v>
      </c>
      <c r="D96" s="102">
        <v>0.12716385888484361</v>
      </c>
      <c r="E96" s="102">
        <v>0.19118049834957648</v>
      </c>
      <c r="F96" s="102">
        <v>0.19227705427281416</v>
      </c>
      <c r="G96" s="102">
        <v>0.146299239451432</v>
      </c>
      <c r="H96" s="102">
        <v>0.11687707363737342</v>
      </c>
      <c r="I96" s="102">
        <v>0.10600729447270055</v>
      </c>
      <c r="J96" s="102">
        <v>0.10308447918965936</v>
      </c>
      <c r="K96" s="102">
        <v>9.2077262241523752E-2</v>
      </c>
      <c r="L96" s="102">
        <v>0.10063850581152206</v>
      </c>
      <c r="M96" s="102">
        <v>8.8386556141592784E-2</v>
      </c>
      <c r="O96" s="96">
        <v>3689192</v>
      </c>
    </row>
    <row r="97" spans="1:15" s="96" customFormat="1" hidden="1" x14ac:dyDescent="0.2">
      <c r="B97" s="96">
        <v>6</v>
      </c>
      <c r="C97" s="96" t="s">
        <v>145</v>
      </c>
      <c r="D97" s="102"/>
      <c r="E97" s="102"/>
      <c r="F97" s="102"/>
      <c r="G97" s="102"/>
      <c r="H97" s="102">
        <v>7.1527491717190847E-2</v>
      </c>
      <c r="I97" s="102"/>
      <c r="J97" s="102"/>
      <c r="K97" s="102"/>
      <c r="L97" s="102"/>
      <c r="M97" s="102"/>
      <c r="O97" s="96">
        <v>11115023</v>
      </c>
    </row>
    <row r="98" spans="1:15" s="96" customFormat="1" hidden="1" x14ac:dyDescent="0.2">
      <c r="B98" s="96">
        <v>7</v>
      </c>
      <c r="C98" s="96" t="s">
        <v>107</v>
      </c>
      <c r="D98" s="102">
        <v>0.2569668097926906</v>
      </c>
      <c r="E98" s="102">
        <v>0.2632152820965189</v>
      </c>
      <c r="F98" s="102">
        <v>0.24397758479966353</v>
      </c>
      <c r="G98" s="102">
        <v>0.24920822336913526</v>
      </c>
      <c r="H98" s="102">
        <v>0.25801369361408694</v>
      </c>
      <c r="I98" s="102">
        <v>0.27397415511659229</v>
      </c>
      <c r="J98" s="102">
        <v>0.24031251862989367</v>
      </c>
      <c r="K98" s="102">
        <v>0.26526534331857443</v>
      </c>
      <c r="L98" s="102">
        <v>0.2372333925461787</v>
      </c>
      <c r="M98" s="102">
        <v>0.20666498154492494</v>
      </c>
      <c r="O98" s="96">
        <v>5920853</v>
      </c>
    </row>
    <row r="99" spans="1:15" s="96" customFormat="1" hidden="1" x14ac:dyDescent="0.2">
      <c r="B99" s="96">
        <v>8</v>
      </c>
      <c r="D99" s="102"/>
      <c r="E99" s="102"/>
      <c r="F99" s="102"/>
      <c r="G99" s="102"/>
      <c r="H99" s="102"/>
      <c r="I99" s="102"/>
      <c r="J99" s="102"/>
      <c r="K99" s="102"/>
      <c r="L99" s="102"/>
      <c r="M99" s="102"/>
      <c r="O99" s="96">
        <v>7434864</v>
      </c>
    </row>
    <row r="100" spans="1:15" s="96" customFormat="1" hidden="1" x14ac:dyDescent="0.2">
      <c r="B100" s="96">
        <v>9</v>
      </c>
      <c r="D100" s="102"/>
      <c r="E100" s="102"/>
      <c r="F100" s="102"/>
      <c r="G100" s="102"/>
      <c r="H100" s="102"/>
      <c r="I100" s="102"/>
      <c r="J100" s="102"/>
      <c r="K100" s="102"/>
      <c r="L100" s="102"/>
      <c r="M100" s="102"/>
      <c r="O100" s="96">
        <v>8497745</v>
      </c>
    </row>
    <row r="101" spans="1:15" s="96" customFormat="1" hidden="1" x14ac:dyDescent="0.2">
      <c r="B101" s="96">
        <v>10</v>
      </c>
      <c r="D101" s="102"/>
      <c r="E101" s="102"/>
      <c r="F101" s="102"/>
      <c r="G101" s="102"/>
      <c r="H101" s="102"/>
      <c r="I101" s="102"/>
      <c r="J101" s="102"/>
      <c r="K101" s="102"/>
      <c r="L101" s="102"/>
      <c r="M101" s="102"/>
      <c r="O101" s="96">
        <v>14393110</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8</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7</v>
      </c>
      <c r="D120" s="56">
        <v>12</v>
      </c>
      <c r="E120" s="56">
        <v>7</v>
      </c>
      <c r="F120" s="57">
        <v>41</v>
      </c>
    </row>
    <row r="121" spans="1:15" ht="18" customHeight="1" x14ac:dyDescent="0.2">
      <c r="A121" s="194" t="s">
        <v>27</v>
      </c>
      <c r="B121" s="35" t="s">
        <v>62</v>
      </c>
      <c r="C121" s="58">
        <v>20.452857971191406</v>
      </c>
      <c r="D121" s="58">
        <v>20.719999313354492</v>
      </c>
      <c r="E121" s="58">
        <v>21.217142105102539</v>
      </c>
      <c r="F121" s="59">
        <v>21.009267807006836</v>
      </c>
    </row>
    <row r="122" spans="1:15" ht="18" customHeight="1" x14ac:dyDescent="0.2">
      <c r="A122" s="195"/>
      <c r="B122" s="37" t="s">
        <v>55</v>
      </c>
      <c r="C122" s="60">
        <v>473.57144165039063</v>
      </c>
      <c r="D122" s="60">
        <v>502.99998474121094</v>
      </c>
      <c r="E122" s="60">
        <v>439.42855834960938</v>
      </c>
      <c r="F122" s="61">
        <v>481.19512939453125</v>
      </c>
    </row>
    <row r="123" spans="1:15" ht="18" customHeight="1" x14ac:dyDescent="0.2">
      <c r="A123" s="195"/>
      <c r="B123" s="37" t="s">
        <v>56</v>
      </c>
      <c r="C123" s="60">
        <v>193.57142639160156</v>
      </c>
      <c r="D123" s="60">
        <v>176.91667175292969</v>
      </c>
      <c r="E123" s="60">
        <v>161</v>
      </c>
      <c r="F123" s="61">
        <v>182.80487060546875</v>
      </c>
    </row>
    <row r="124" spans="1:15" ht="18" customHeight="1" x14ac:dyDescent="0.2">
      <c r="A124" s="195"/>
      <c r="B124" s="37" t="s">
        <v>57</v>
      </c>
      <c r="C124" s="60">
        <v>364.59820556640625</v>
      </c>
      <c r="D124" s="60">
        <v>374.14315795898438</v>
      </c>
      <c r="E124" s="60">
        <v>343.73556518554688</v>
      </c>
      <c r="F124" s="61">
        <v>366.5311279296875</v>
      </c>
    </row>
    <row r="125" spans="1:15" ht="18" customHeight="1" x14ac:dyDescent="0.2">
      <c r="A125" s="195"/>
      <c r="B125" s="37" t="s">
        <v>58</v>
      </c>
      <c r="C125" s="33">
        <v>824.34735107421875</v>
      </c>
      <c r="D125" s="33">
        <v>516.72067260742188</v>
      </c>
      <c r="E125" s="33">
        <v>339.3570556640625</v>
      </c>
      <c r="F125" s="62">
        <v>410.85049438476563</v>
      </c>
    </row>
    <row r="126" spans="1:15" ht="18" customHeight="1" x14ac:dyDescent="0.2">
      <c r="A126" s="195"/>
      <c r="B126" s="37" t="s">
        <v>63</v>
      </c>
      <c r="C126" s="33">
        <f ca="1">2164.0495*OFFSET($L$112,MATCH($N$1,$C$112:$C$113,0)-1,0)</f>
        <v>2164.0495000000001</v>
      </c>
      <c r="D126" s="33">
        <f ca="1">1350.87925*OFFSET($L$112,MATCH($N$1,$C$112:$C$113,0)-1,0)</f>
        <v>1350.87925</v>
      </c>
      <c r="E126" s="33">
        <f ca="1">803.1464375*OFFSET($L$112,MATCH($N$1,$C$112:$C$113,0)-1,0)</f>
        <v>803.14643750000005</v>
      </c>
      <c r="F126" s="62">
        <f ca="1">840.0300625*OFFSET($L$112,MATCH($N$1,$C$112:$C$113,0)-1,0)</f>
        <v>840.03006249999999</v>
      </c>
    </row>
    <row r="127" spans="1:15" ht="18" customHeight="1" x14ac:dyDescent="0.2">
      <c r="A127" s="195"/>
      <c r="B127" s="37" t="s">
        <v>60</v>
      </c>
      <c r="C127" s="60">
        <v>259.71429443359375</v>
      </c>
      <c r="D127" s="60">
        <v>206.83333587646484</v>
      </c>
      <c r="E127" s="60">
        <v>181.57142639160156</v>
      </c>
      <c r="F127" s="61">
        <v>176.68292236328125</v>
      </c>
    </row>
    <row r="128" spans="1:15" ht="18" customHeight="1" x14ac:dyDescent="0.2">
      <c r="A128" s="195"/>
      <c r="B128" s="37" t="s">
        <v>64</v>
      </c>
      <c r="C128" s="60">
        <v>12.285714149475098</v>
      </c>
      <c r="D128" s="60">
        <v>19.5</v>
      </c>
      <c r="E128" s="60">
        <v>28.285715103149414</v>
      </c>
      <c r="F128" s="61">
        <v>19.375</v>
      </c>
    </row>
    <row r="129" spans="1:15" ht="18" customHeight="1" x14ac:dyDescent="0.2">
      <c r="A129" s="195"/>
      <c r="B129" s="37" t="s">
        <v>65</v>
      </c>
      <c r="C129" s="63">
        <v>3.1740546226501465</v>
      </c>
      <c r="D129" s="63">
        <v>2.4982465733475534</v>
      </c>
      <c r="E129" s="63">
        <v>1.8690003156661987</v>
      </c>
      <c r="F129" s="64">
        <v>2.3253548145294189</v>
      </c>
    </row>
    <row r="130" spans="1:15" ht="18" customHeight="1" x14ac:dyDescent="0.2">
      <c r="A130" s="196"/>
      <c r="B130" s="39" t="s">
        <v>28</v>
      </c>
      <c r="C130" s="40">
        <f ca="1">2625.16704539657*OFFSET($L$112,MATCH($N$1,$C$112:$C$113,0)-1,0)</f>
        <v>2625.1670453965698</v>
      </c>
      <c r="D130" s="40">
        <f ca="1">2614.33173010736*OFFSET($L$112,MATCH($N$1,$C$112:$C$113,0)-1,0)</f>
        <v>2614.3317301073598</v>
      </c>
      <c r="E130" s="40">
        <f ca="1">2366.67080909334*OFFSET($L$112,MATCH($N$1,$C$112:$C$113,0)-1,0)</f>
        <v>2366.6708090933398</v>
      </c>
      <c r="F130" s="65">
        <f ca="1">2045*OFFSET($L$112,MATCH($N$1,$C$112:$C$113,0)-1,0)</f>
        <v>2045</v>
      </c>
    </row>
    <row r="131" spans="1:15" ht="18" customHeight="1" x14ac:dyDescent="0.2">
      <c r="A131" s="205" t="s">
        <v>29</v>
      </c>
      <c r="B131" s="35" t="s">
        <v>66</v>
      </c>
      <c r="C131" s="66">
        <v>6.6230800575647315</v>
      </c>
      <c r="D131" s="66">
        <v>4.9967186845571296</v>
      </c>
      <c r="E131" s="66">
        <v>4.1885368538895715</v>
      </c>
      <c r="F131" s="67">
        <v>4.7199501483194943</v>
      </c>
    </row>
    <row r="132" spans="1:15" ht="18" customHeight="1" x14ac:dyDescent="0.2">
      <c r="A132" s="206"/>
      <c r="B132" s="37" t="s">
        <v>67</v>
      </c>
      <c r="C132" s="63">
        <f ca="1">17.3866915061422*OFFSET($L$112,MATCH($N$1,$C$112:$C$113,0)-1,0)</f>
        <v>17.386691506142199</v>
      </c>
      <c r="D132" s="63">
        <f ca="1">13.063080203458*OFFSET($L$112,MATCH($N$1,$C$112:$C$113,0)-1,0)</f>
        <v>13.063080203458</v>
      </c>
      <c r="E132" s="63">
        <f ca="1">9.9128879049121*OFFSET($L$112,MATCH($N$1,$C$112:$C$113,0)-1,0)</f>
        <v>9.9128879049121004</v>
      </c>
      <c r="F132" s="64">
        <f ca="1">9.65046914213164*OFFSET($L$112,MATCH($N$1,$C$112:$C$113,0)-1,0)</f>
        <v>9.6504691421316409</v>
      </c>
    </row>
    <row r="133" spans="1:15" ht="18" customHeight="1" x14ac:dyDescent="0.2">
      <c r="A133" s="206"/>
      <c r="B133" s="37" t="s">
        <v>11</v>
      </c>
      <c r="C133" s="63">
        <f ca="1">12.4715454727482*OFFSET($L$112,MATCH($N$1,$C$112:$C$113,0)-1,0)</f>
        <v>12.4715454727482</v>
      </c>
      <c r="D133" s="63">
        <f ca="1">10.0899895563378*OFFSET($L$112,MATCH($N$1,$C$112:$C$113,0)-1,0)</f>
        <v>10.0899895563378</v>
      </c>
      <c r="E133" s="63">
        <f ca="1">8.5502207921131*OFFSET($L$112,MATCH($N$1,$C$112:$C$113,0)-1,0)</f>
        <v>8.5502207921130999</v>
      </c>
      <c r="F133" s="64">
        <f ca="1">8.04984263800207*OFFSET($L$112,MATCH($N$1,$C$112:$C$113,0)-1,0)</f>
        <v>8.0498426380020707</v>
      </c>
    </row>
    <row r="134" spans="1:15" ht="18" customHeight="1" x14ac:dyDescent="0.2">
      <c r="A134" s="207"/>
      <c r="B134" s="39" t="s">
        <v>12</v>
      </c>
      <c r="C134" s="68">
        <f ca="1">4.91514603339395*OFFSET($L$112,MATCH($N$1,$C$112:$C$113,0)-1,0)</f>
        <v>4.9151460333939498</v>
      </c>
      <c r="D134" s="68">
        <f ca="1">2.97309064712026*OFFSET($L$112,MATCH($N$1,$C$112:$C$113,0)-1,0)</f>
        <v>2.9730906471202601</v>
      </c>
      <c r="E134" s="68">
        <f ca="1">1.362667112799*OFFSET($L$112,MATCH($N$1,$C$112:$C$113,0)-1,0)</f>
        <v>1.362667112799</v>
      </c>
      <c r="F134" s="69">
        <f ca="1">1.60062650412957*OFFSET($L$112,MATCH($N$1,$C$112:$C$113,0)-1,0)</f>
        <v>1.60062650412957</v>
      </c>
    </row>
    <row r="135" spans="1:15" ht="18" customHeight="1" x14ac:dyDescent="0.2">
      <c r="A135" s="208" t="s">
        <v>49</v>
      </c>
      <c r="B135" s="37" t="s">
        <v>109</v>
      </c>
      <c r="C135" s="70">
        <f ca="1">235.054453125*OFFSET($L$112,MATCH($N$1,$C$112:$C$113,0)-1,0)</f>
        <v>235.05445312500001</v>
      </c>
      <c r="D135" s="70">
        <f ca="1">221.1643359375*OFFSET($L$112,MATCH($N$1,$C$112:$C$113,0)-1,0)</f>
        <v>221.1643359375</v>
      </c>
      <c r="E135" s="70">
        <f ca="1">203.878359375*OFFSET($L$112,MATCH($N$1,$C$112:$C$113,0)-1,0)</f>
        <v>203.878359375</v>
      </c>
      <c r="F135" s="71">
        <f ca="1">132.493328125*OFFSET($L$112,MATCH($N$1,$C$112:$C$113,0)-1,0)</f>
        <v>132.49332812500001</v>
      </c>
    </row>
    <row r="136" spans="1:15" ht="18" customHeight="1" x14ac:dyDescent="0.2">
      <c r="A136" s="209"/>
      <c r="B136" s="37" t="s">
        <v>110</v>
      </c>
      <c r="C136" s="31">
        <v>451428.58937442303</v>
      </c>
      <c r="D136" s="31">
        <v>424633.35414701334</v>
      </c>
      <c r="E136" s="31">
        <v>393042.87031626329</v>
      </c>
      <c r="F136" s="72">
        <v>357297.56097560975</v>
      </c>
    </row>
    <row r="137" spans="1:15" ht="18" customHeight="1" x14ac:dyDescent="0.2">
      <c r="A137" s="209"/>
      <c r="B137" s="37" t="s">
        <v>111</v>
      </c>
      <c r="C137" s="31">
        <v>1738.173828125</v>
      </c>
      <c r="D137" s="31">
        <v>2053.0218320350141</v>
      </c>
      <c r="E137" s="31">
        <v>2164.673583984375</v>
      </c>
      <c r="F137" s="72">
        <v>2022.2529296875</v>
      </c>
    </row>
    <row r="138" spans="1:15" ht="18" customHeight="1" x14ac:dyDescent="0.2">
      <c r="A138" s="209"/>
      <c r="B138" s="37" t="s">
        <v>112</v>
      </c>
      <c r="C138" s="31">
        <f ca="1">905.050119161235*OFFSET($L$112,MATCH($N$1,$C$112:$C$113,0)-1,0)</f>
        <v>905.05011916123499</v>
      </c>
      <c r="D138" s="31">
        <f ca="1">1069.28767067604*OFFSET($L$112,MATCH($N$1,$C$112:$C$113,0)-1,0)</f>
        <v>1069.2876706760401</v>
      </c>
      <c r="E138" s="31">
        <f ca="1">1122.8548644834*OFFSET($L$112,MATCH($N$1,$C$112:$C$113,0)-1,0)</f>
        <v>1122.8548644834</v>
      </c>
      <c r="F138" s="72">
        <f ca="1">749.893234460871*OFFSET($L$112,MATCH($N$1,$C$112:$C$113,0)-1,0)</f>
        <v>749.89323446087099</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285.140059974351*OFFSET($L$112,MATCH($N$1,$C$112:$C$113,0)-1,0)</f>
        <v>285.140059974351</v>
      </c>
      <c r="D139" s="31">
        <f ca="1">428.015265620173*OFFSET($L$112,MATCH($N$1,$C$112:$C$113,0)-1,0)</f>
        <v>428.01526562017301</v>
      </c>
      <c r="E139" s="31">
        <f ca="1">600.77831290717*OFFSET($L$112,MATCH($N$1,$C$112:$C$113,0)-1,0)</f>
        <v>600.77831290716995</v>
      </c>
      <c r="F139" s="72">
        <f ca="1">322.485502477986*OFFSET($L$112,MATCH($N$1,$C$112:$C$113,0)-1,0)</f>
        <v>322.48550247798602</v>
      </c>
      <c r="I139" s="48"/>
      <c r="K139" s="73" t="s">
        <v>114</v>
      </c>
      <c r="L139" s="74">
        <f t="shared" ref="L139:M141" ca="1" si="2">C140</f>
        <v>2251.9897500000002</v>
      </c>
      <c r="M139" s="74">
        <f t="shared" ca="1" si="2"/>
        <v>1405.77475</v>
      </c>
      <c r="N139" s="74">
        <f ca="1">E140</f>
        <v>835.78381249999995</v>
      </c>
      <c r="O139" s="74"/>
    </row>
    <row r="140" spans="1:15" ht="18" customHeight="1" x14ac:dyDescent="0.2">
      <c r="A140" s="187" t="s">
        <v>50</v>
      </c>
      <c r="B140" s="35" t="s">
        <v>115</v>
      </c>
      <c r="C140" s="75">
        <f ca="1">2251.98975*OFFSET($L$112,MATCH($N$1,$C$112:$C$113,0)-1,0)</f>
        <v>2251.9897500000002</v>
      </c>
      <c r="D140" s="75">
        <f ca="1">1405.77475*OFFSET($L$112,MATCH($N$1,$C$112:$C$113,0)-1,0)</f>
        <v>1405.77475</v>
      </c>
      <c r="E140" s="75">
        <f ca="1">835.7838125*OFFSET($L$112,MATCH($N$1,$C$112:$C$113,0)-1,0)</f>
        <v>835.78381249999995</v>
      </c>
      <c r="F140" s="76">
        <f ca="1">908.01975*OFFSET($L$112,MATCH($N$1,$C$112:$C$113,0)-1,0)</f>
        <v>908.01975000000004</v>
      </c>
      <c r="I140" s="48"/>
      <c r="K140" s="73" t="s">
        <v>116</v>
      </c>
      <c r="L140" s="74">
        <f t="shared" ca="1" si="2"/>
        <v>1640.221875</v>
      </c>
      <c r="M140" s="74">
        <f t="shared" ca="1" si="2"/>
        <v>1098.3215</v>
      </c>
      <c r="N140" s="74">
        <f ca="1">E141</f>
        <v>725.37993749999998</v>
      </c>
      <c r="O140" s="74"/>
    </row>
    <row r="141" spans="1:15" ht="18" customHeight="1" x14ac:dyDescent="0.2">
      <c r="A141" s="188"/>
      <c r="B141" s="37" t="s">
        <v>117</v>
      </c>
      <c r="C141" s="31">
        <f ca="1">1640.221875*OFFSET($L$112,MATCH($N$1,$C$112:$C$113,0)-1,0)</f>
        <v>1640.221875</v>
      </c>
      <c r="D141" s="31">
        <f ca="1">1098.3215*OFFSET($L$112,MATCH($N$1,$C$112:$C$113,0)-1,0)</f>
        <v>1098.3215</v>
      </c>
      <c r="E141" s="31">
        <f ca="1">725.3799375*OFFSET($L$112,MATCH($N$1,$C$112:$C$113,0)-1,0)</f>
        <v>725.37993749999998</v>
      </c>
      <c r="F141" s="72">
        <f ca="1">768.692375*OFFSET($L$112,MATCH($N$1,$C$112:$C$113,0)-1,0)</f>
        <v>768.69237499999997</v>
      </c>
      <c r="I141" s="48"/>
      <c r="K141" s="73" t="s">
        <v>118</v>
      </c>
      <c r="L141" s="74">
        <f t="shared" ca="1" si="2"/>
        <v>611.767875</v>
      </c>
      <c r="M141" s="74">
        <f t="shared" ca="1" si="2"/>
        <v>307.45325000000003</v>
      </c>
      <c r="N141" s="74">
        <f ca="1">E142</f>
        <v>110.403875</v>
      </c>
      <c r="O141" s="74"/>
    </row>
    <row r="142" spans="1:15" ht="18" customHeight="1" x14ac:dyDescent="0.2">
      <c r="A142" s="189"/>
      <c r="B142" s="39" t="s">
        <v>119</v>
      </c>
      <c r="C142" s="40">
        <f ca="1">611.767875*OFFSET($L$112,MATCH($N$1,$C$112:$C$113,0)-1,0)</f>
        <v>611.767875</v>
      </c>
      <c r="D142" s="40">
        <f ca="1">307.45325*OFFSET($L$112,MATCH($N$1,$C$112:$C$113,0)-1,0)</f>
        <v>307.45325000000003</v>
      </c>
      <c r="E142" s="40">
        <f ca="1">110.403875*OFFSET($L$112,MATCH($N$1,$C$112:$C$113,0)-1,0)</f>
        <v>110.403875</v>
      </c>
      <c r="F142" s="65">
        <f ca="1">139.327359375*OFFSET($L$112,MATCH($N$1,$C$112:$C$113,0)-1,0)</f>
        <v>139.32735937499999</v>
      </c>
      <c r="I142" s="48"/>
      <c r="K142" s="73" t="s">
        <v>120</v>
      </c>
      <c r="L142" s="77">
        <f ca="1">IFERROR(L140/L$139,"")</f>
        <v>0.72834340165180589</v>
      </c>
      <c r="M142" s="77">
        <f t="shared" ref="M142:N143" ca="1" si="3">IFERROR(M140/M$139,"")</f>
        <v>0.78129266441867729</v>
      </c>
      <c r="N142" s="77">
        <f t="shared" ca="1" si="3"/>
        <v>0.86790378881620178</v>
      </c>
      <c r="O142" s="77"/>
    </row>
    <row r="143" spans="1:15" ht="18" customHeight="1" x14ac:dyDescent="0.2">
      <c r="I143" s="48"/>
      <c r="K143" s="73" t="s">
        <v>121</v>
      </c>
      <c r="L143" s="77">
        <f ca="1">IFERROR(L141/L$139,"")</f>
        <v>0.27165659834819406</v>
      </c>
      <c r="M143" s="77">
        <f t="shared" ca="1" si="3"/>
        <v>0.21870733558132269</v>
      </c>
      <c r="N143" s="77">
        <f t="shared" ca="1" si="3"/>
        <v>0.13209621118379822</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9</v>
      </c>
      <c r="B161" s="53"/>
      <c r="C161" s="78" t="s">
        <v>45</v>
      </c>
      <c r="D161" s="78" t="s">
        <v>122</v>
      </c>
      <c r="E161" s="78" t="s">
        <v>47</v>
      </c>
      <c r="F161" s="78" t="s">
        <v>123</v>
      </c>
      <c r="G161" s="79">
        <v>9</v>
      </c>
      <c r="H161" s="78"/>
      <c r="I161" s="78" t="s">
        <v>45</v>
      </c>
      <c r="J161" s="78" t="s">
        <v>122</v>
      </c>
      <c r="K161" s="78" t="s">
        <v>47</v>
      </c>
      <c r="L161" s="53" t="s">
        <v>123</v>
      </c>
      <c r="R161" s="21"/>
      <c r="S161" s="21"/>
    </row>
    <row r="162" spans="1:19" s="48" customFormat="1" x14ac:dyDescent="0.2">
      <c r="A162" s="49">
        <v>1</v>
      </c>
      <c r="B162" s="53" t="s">
        <v>143</v>
      </c>
      <c r="C162" s="53">
        <v>0.26948762656851194</v>
      </c>
      <c r="D162" s="53">
        <v>0.21796268350011644</v>
      </c>
      <c r="E162" s="53">
        <v>0.15223418802276864</v>
      </c>
      <c r="F162" s="49">
        <v>12153634</v>
      </c>
      <c r="G162" s="49">
        <v>1</v>
      </c>
      <c r="H162" s="53" t="s">
        <v>143</v>
      </c>
      <c r="I162" s="53">
        <v>0.31695783452772064</v>
      </c>
      <c r="J162" s="53">
        <v>0.29541658198786025</v>
      </c>
      <c r="K162" s="53">
        <v>0.17875695286301968</v>
      </c>
      <c r="L162" s="49">
        <v>12153634</v>
      </c>
      <c r="R162" s="21"/>
      <c r="S162" s="21"/>
    </row>
    <row r="163" spans="1:19" s="48" customFormat="1" x14ac:dyDescent="0.2">
      <c r="A163" s="49">
        <v>2</v>
      </c>
      <c r="B163" s="53" t="s">
        <v>20</v>
      </c>
      <c r="C163" s="53">
        <v>0.15031110385234048</v>
      </c>
      <c r="D163" s="53">
        <v>0.19616050294996723</v>
      </c>
      <c r="E163" s="53">
        <v>0.22345785656695319</v>
      </c>
      <c r="F163" s="49">
        <v>3689192</v>
      </c>
      <c r="G163" s="49">
        <v>2</v>
      </c>
      <c r="H163" s="53" t="s">
        <v>98</v>
      </c>
      <c r="I163" s="53">
        <v>0.15338354347833347</v>
      </c>
      <c r="J163" s="53">
        <v>0.16221220804039094</v>
      </c>
      <c r="K163" s="53">
        <v>5.0870839765614365E-2</v>
      </c>
      <c r="L163" s="49">
        <v>553960</v>
      </c>
      <c r="N163" s="48" t="s">
        <v>124</v>
      </c>
      <c r="R163" s="21"/>
      <c r="S163" s="21"/>
    </row>
    <row r="164" spans="1:19" s="48" customFormat="1" x14ac:dyDescent="0.2">
      <c r="A164" s="49">
        <v>3</v>
      </c>
      <c r="B164" s="53" t="s">
        <v>126</v>
      </c>
      <c r="C164" s="53">
        <v>0</v>
      </c>
      <c r="D164" s="53">
        <v>0.14926270378284223</v>
      </c>
      <c r="E164" s="53">
        <v>0.16987186338809326</v>
      </c>
      <c r="F164" s="49">
        <v>11115023</v>
      </c>
      <c r="G164" s="49">
        <v>3</v>
      </c>
      <c r="H164" s="53" t="s">
        <v>102</v>
      </c>
      <c r="I164" s="53">
        <v>0</v>
      </c>
      <c r="J164" s="53">
        <v>0.13147518281476406</v>
      </c>
      <c r="K164" s="53">
        <v>0.23585689513653935</v>
      </c>
      <c r="L164" s="49">
        <v>1692097</v>
      </c>
      <c r="N164" s="48" t="s">
        <v>125</v>
      </c>
      <c r="R164" s="21"/>
      <c r="S164" s="21"/>
    </row>
    <row r="165" spans="1:19" s="48" customFormat="1" x14ac:dyDescent="0.2">
      <c r="A165" s="49">
        <v>4</v>
      </c>
      <c r="B165" s="53" t="s">
        <v>98</v>
      </c>
      <c r="C165" s="53">
        <v>0.12842705968877013</v>
      </c>
      <c r="D165" s="53">
        <v>0.11390141995727308</v>
      </c>
      <c r="E165" s="53">
        <v>0</v>
      </c>
      <c r="F165" s="49">
        <v>553960</v>
      </c>
      <c r="G165" s="49">
        <v>4</v>
      </c>
      <c r="H165" s="53" t="s">
        <v>20</v>
      </c>
      <c r="I165" s="53">
        <v>8.1602702721132361E-2</v>
      </c>
      <c r="J165" s="53">
        <v>0.11935120394350027</v>
      </c>
      <c r="K165" s="53">
        <v>0.10297325355367513</v>
      </c>
      <c r="L165" s="49">
        <v>3689192</v>
      </c>
      <c r="R165" s="21"/>
      <c r="S165" s="21"/>
    </row>
    <row r="166" spans="1:19" s="48" customFormat="1" x14ac:dyDescent="0.2">
      <c r="A166" s="49">
        <v>5</v>
      </c>
      <c r="B166" s="53" t="s">
        <v>102</v>
      </c>
      <c r="C166" s="53">
        <v>0</v>
      </c>
      <c r="D166" s="53">
        <v>9.5667828631751203E-2</v>
      </c>
      <c r="E166" s="53">
        <v>0.21187795123249686</v>
      </c>
      <c r="F166" s="49">
        <v>1692097</v>
      </c>
      <c r="G166" s="49">
        <v>5</v>
      </c>
      <c r="H166" s="53" t="s">
        <v>175</v>
      </c>
      <c r="I166" s="53">
        <v>0.21079627592184175</v>
      </c>
      <c r="J166" s="53">
        <v>0.10182615013310134</v>
      </c>
      <c r="K166" s="53">
        <v>0</v>
      </c>
      <c r="L166" s="49">
        <v>3050596</v>
      </c>
      <c r="R166" s="21"/>
      <c r="S166" s="21"/>
    </row>
    <row r="167" spans="1:19" s="48" customFormat="1" x14ac:dyDescent="0.2">
      <c r="A167" s="49">
        <v>6</v>
      </c>
      <c r="B167" s="53" t="s">
        <v>265</v>
      </c>
      <c r="C167" s="53">
        <v>9.1884089530886823E-2</v>
      </c>
      <c r="D167" s="53">
        <v>0</v>
      </c>
      <c r="E167" s="53">
        <v>5.4995050125667459E-2</v>
      </c>
      <c r="F167" s="49">
        <v>2480382</v>
      </c>
      <c r="G167" s="49">
        <v>6</v>
      </c>
      <c r="H167" s="53" t="s">
        <v>126</v>
      </c>
      <c r="I167" s="53">
        <v>0</v>
      </c>
      <c r="J167" s="53">
        <v>0</v>
      </c>
      <c r="K167" s="53">
        <v>7.5137686279921123E-2</v>
      </c>
      <c r="L167" s="49">
        <v>11115023</v>
      </c>
      <c r="R167" s="21"/>
      <c r="S167" s="21"/>
    </row>
    <row r="168" spans="1:19" s="48" customFormat="1" x14ac:dyDescent="0.2">
      <c r="A168" s="49">
        <v>7</v>
      </c>
      <c r="B168" s="53" t="s">
        <v>175</v>
      </c>
      <c r="C168" s="53">
        <v>0.13937900209042511</v>
      </c>
      <c r="D168" s="53">
        <v>0</v>
      </c>
      <c r="E168" s="53">
        <v>0</v>
      </c>
      <c r="F168" s="49">
        <v>3050596</v>
      </c>
      <c r="G168" s="49">
        <v>7</v>
      </c>
      <c r="H168" s="53" t="s">
        <v>145</v>
      </c>
      <c r="I168" s="53">
        <v>4.5914268347771001E-2</v>
      </c>
      <c r="J168" s="53">
        <v>0</v>
      </c>
      <c r="K168" s="53">
        <v>0</v>
      </c>
      <c r="L168" s="49">
        <v>7434864</v>
      </c>
      <c r="R168" s="21"/>
      <c r="S168" s="21"/>
    </row>
    <row r="169" spans="1:19" s="48" customFormat="1" x14ac:dyDescent="0.2">
      <c r="A169" s="49">
        <v>8</v>
      </c>
      <c r="B169" s="53" t="s">
        <v>107</v>
      </c>
      <c r="C169" s="53">
        <v>0.22051111826906555</v>
      </c>
      <c r="D169" s="53">
        <v>0.22704486117804989</v>
      </c>
      <c r="E169" s="53">
        <v>0.18756309066402066</v>
      </c>
      <c r="F169" s="49">
        <v>5920853</v>
      </c>
      <c r="G169" s="49">
        <v>8</v>
      </c>
      <c r="H169" s="53" t="s">
        <v>107</v>
      </c>
      <c r="I169" s="53">
        <v>0.1913453750032007</v>
      </c>
      <c r="J169" s="53">
        <v>0.18971867308038315</v>
      </c>
      <c r="K169" s="53">
        <v>0.35640437240123035</v>
      </c>
      <c r="L169" s="49">
        <v>5920853</v>
      </c>
      <c r="R169" s="21"/>
      <c r="S169" s="21"/>
    </row>
    <row r="170" spans="1:19" s="48" customFormat="1" x14ac:dyDescent="0.2">
      <c r="A170" s="49">
        <v>9</v>
      </c>
      <c r="B170" s="53"/>
      <c r="C170" s="53">
        <v>0</v>
      </c>
      <c r="D170" s="53">
        <v>0</v>
      </c>
      <c r="E170" s="53">
        <v>0</v>
      </c>
      <c r="F170" s="49"/>
      <c r="G170" s="49">
        <v>9</v>
      </c>
      <c r="H170" s="53"/>
      <c r="I170" s="53">
        <v>0</v>
      </c>
      <c r="J170" s="53">
        <v>0</v>
      </c>
      <c r="K170" s="53">
        <v>0</v>
      </c>
      <c r="L170" s="49"/>
      <c r="R170" s="21"/>
      <c r="S170" s="21"/>
    </row>
    <row r="171" spans="1:19" s="48" customFormat="1" x14ac:dyDescent="0.2">
      <c r="A171" s="49">
        <v>10</v>
      </c>
      <c r="B171" s="53"/>
      <c r="C171" s="53">
        <v>0</v>
      </c>
      <c r="D171" s="53">
        <v>0</v>
      </c>
      <c r="E171" s="53">
        <v>0</v>
      </c>
      <c r="F171" s="49"/>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B2481B19-C03F-492F-9262-D41A12155373}">
      <formula1>$C$112:$C$113</formula1>
    </dataValidation>
  </dataValidations>
  <hyperlinks>
    <hyperlink ref="O1:P1" location="Home_page" display="Back to home page" xr:uid="{A9C7643D-732D-4F2A-A0A7-73A9C234683A}"/>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DAB1B0D1-30AB-40F6-878C-8786FDF4C989}">
          <x14:colorSeries rgb="FF323232"/>
          <x14:colorNegative rgb="FFD00000"/>
          <x14:colorAxis rgb="FF000000"/>
          <x14:colorMarkers rgb="FFD00000"/>
          <x14:colorFirst rgb="FFD00000"/>
          <x14:colorLast rgb="FFD00000"/>
          <x14:colorHigh rgb="FFD00000"/>
          <x14:colorLow rgb="FFD00000"/>
          <x14:sparklines>
            <x14:sparkline>
              <xm:f>'NSWOS demersal u24m o300kW'!D3:N3</xm:f>
              <xm:sqref>C3</xm:sqref>
            </x14:sparkline>
            <x14:sparkline>
              <xm:f>'NSWOS demersal u24m o300kW'!D4:N4</xm:f>
              <xm:sqref>C4</xm:sqref>
            </x14:sparkline>
            <x14:sparkline>
              <xm:f>'NSWOS demersal u24m o300kW'!D5:N5</xm:f>
              <xm:sqref>C5</xm:sqref>
            </x14:sparkline>
            <x14:sparkline>
              <xm:f>'NSWOS demersal u24m o300kW'!D6:N6</xm:f>
              <xm:sqref>C6</xm:sqref>
            </x14:sparkline>
            <x14:sparkline>
              <xm:f>'NSWOS demersal u24m o300kW'!D7:N7</xm:f>
              <xm:sqref>C7</xm:sqref>
            </x14:sparkline>
            <x14:sparkline>
              <xm:f>'NSWOS demersal u24m o300kW'!D8:N8</xm:f>
              <xm:sqref>C8</xm:sqref>
            </x14:sparkline>
            <x14:sparkline>
              <xm:f>'NSWOS demersal u24m o300kW'!D9:N9</xm:f>
              <xm:sqref>C9</xm:sqref>
            </x14:sparkline>
            <x14:sparkline>
              <xm:f>'NSWOS demersal u24m o300kW'!D10:N10</xm:f>
              <xm:sqref>C10</xm:sqref>
            </x14:sparkline>
            <x14:sparkline>
              <xm:f>'NSWOS demersal u24m o300kW'!D11:N11</xm:f>
              <xm:sqref>C11</xm:sqref>
            </x14:sparkline>
            <x14:sparkline>
              <xm:f>'NSWOS demersal u24m o300kW'!D12:N12</xm:f>
              <xm:sqref>C12</xm:sqref>
            </x14:sparkline>
            <x14:sparkline>
              <xm:f>'NSWOS demersal u24m o300kW'!D13:N13</xm:f>
              <xm:sqref>C13</xm:sqref>
            </x14:sparkline>
            <x14:sparkline>
              <xm:f>'NSWOS demersal u24m o300kW'!D14:N14</xm:f>
              <xm:sqref>C14</xm:sqref>
            </x14:sparkline>
            <x14:sparkline>
              <xm:f>'NSWOS demersal u24m o300kW'!D15:N15</xm:f>
              <xm:sqref>C15</xm:sqref>
            </x14:sparkline>
            <x14:sparkline>
              <xm:f>'NSWOS demersal u24m o300kW'!D16:N16</xm:f>
              <xm:sqref>C16</xm:sqref>
            </x14:sparkline>
            <x14:sparkline>
              <xm:f>'NSWOS demersal u24m o300kW'!D17:N17</xm:f>
              <xm:sqref>C17</xm:sqref>
            </x14:sparkline>
            <x14:sparkline>
              <xm:f>'NSWOS demersal u24m o300kW'!D18:N18</xm:f>
              <xm:sqref>C18</xm:sqref>
            </x14:sparkline>
            <x14:sparkline>
              <xm:f>'NSWOS demersal u24m o300kW'!D19:N19</xm:f>
              <xm:sqref>C19</xm:sqref>
            </x14:sparkline>
            <x14:sparkline>
              <xm:f>'NSWOS demersal u24m o300kW'!D20:N20</xm:f>
              <xm:sqref>C20</xm:sqref>
            </x14:sparkline>
            <x14:sparkline>
              <xm:f>'NSWOS demersal u24m o300kW'!D21:N21</xm:f>
              <xm:sqref>C21</xm:sqref>
            </x14:sparkline>
            <x14:sparkline>
              <xm:f>'NSWOS demersal u24m o300kW'!D22:N22</xm:f>
              <xm:sqref>C22</xm:sqref>
            </x14:sparkline>
            <x14:sparkline>
              <xm:f>'NSWOS demersal u24m o300kW'!D23:N23</xm:f>
              <xm:sqref>C23</xm:sqref>
            </x14:sparkline>
            <x14:sparkline>
              <xm:f>'NSWOS demersal u24m o300kW'!D24:N24</xm:f>
              <xm:sqref>C24</xm:sqref>
            </x14:sparkline>
            <x14:sparkline>
              <xm:f>'NSWOS demersal u24m o300kW'!D25:N25</xm:f>
              <xm:sqref>C25</xm:sqref>
            </x14:sparkline>
            <x14:sparkline>
              <xm:f>'NSWOS demersal u24m o300kW'!D26:N26</xm:f>
              <xm:sqref>C26</xm:sqref>
            </x14:sparkline>
            <x14:sparkline>
              <xm:f>'NSWOS demersal u24m o300kW'!D27:N27</xm:f>
              <xm:sqref>C27</xm:sqref>
            </x14:sparkline>
            <x14:sparkline>
              <xm:f>'NSWOS demersal u24m o300kW'!D28:N28</xm:f>
              <xm:sqref>C28</xm:sqref>
            </x14:sparkline>
            <x14:sparkline>
              <xm:f>'NSWOS demersal u24m o300kW'!D29:N29</xm:f>
              <xm:sqref>C29</xm:sqref>
            </x14:sparkline>
            <x14:sparkline>
              <xm:f>'NSWOS demersal u24m o300kW'!D30:N30</xm:f>
              <xm:sqref>C30</xm:sqref>
            </x14:sparkline>
            <x14:sparkline>
              <xm:f>'NSWOS demersal u24m o300kW'!D31:N31</xm:f>
              <xm:sqref>C31</xm:sqref>
            </x14:sparkline>
            <x14:sparkline>
              <xm:f>'NSWOS demersal u24m o300kW'!D32:N32</xm:f>
              <xm:sqref>C32</xm:sqref>
            </x14:sparkline>
            <x14:sparkline>
              <xm:f>'NSWOS demersal u24m o300kW'!D33:N33</xm:f>
              <xm:sqref>C33</xm:sqref>
            </x14:sparkline>
            <x14:sparkline>
              <xm:f>'NSWOS demersal u24m o300kW'!D34:N34</xm:f>
              <xm:sqref>C34</xm:sqref>
            </x14:sparkline>
            <x14:sparkline>
              <xm:f>'NSWOS demersal u24m o300kW'!D35:N35</xm:f>
              <xm:sqref>C35</xm:sqref>
            </x14:sparkline>
            <x14:sparkline>
              <xm:f>'NSWOS demersal u24m o300kW'!D36:N36</xm:f>
              <xm:sqref>C36</xm:sqref>
            </x14:sparkline>
            <x14:sparkline>
              <xm:f>'NSWOS demersal u24m o300kW'!D37:N37</xm:f>
              <xm:sqref>C37</xm:sqref>
            </x14:sparkline>
            <x14:sparkline>
              <xm:f>'NSWOS demersal u24m o300kW'!D38:N38</xm:f>
              <xm:sqref>C38</xm:sqref>
            </x14:sparkline>
            <x14:sparkline>
              <xm:f>'NSWOS demersal u24m o300kW'!D39:N39</xm:f>
              <xm:sqref>C39</xm:sqref>
            </x14:sparkline>
            <x14:sparkline>
              <xm:f>'NSWOS demersal u24m o300kW'!D40:N40</xm:f>
              <xm:sqref>C40</xm:sqref>
            </x14:sparkline>
            <x14:sparkline>
              <xm:f>'NSWOS demersal u24m o300kW'!D41:N41</xm:f>
              <xm:sqref>C41</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747B5-01AA-4AB4-8EA2-3786D8058A55}">
  <sheetPr codeName="Feuil25">
    <pageSetUpPr fitToPage="1"/>
  </sheetPr>
  <dimension ref="A1:S192"/>
  <sheetViews>
    <sheetView zoomScale="70" zoomScaleNormal="70" zoomScalePageLayoutView="87" workbookViewId="0">
      <selection activeCell="S6" sqref="S6"/>
    </sheetView>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367</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28</v>
      </c>
      <c r="E3" s="28">
        <v>22</v>
      </c>
      <c r="F3" s="28">
        <v>21</v>
      </c>
      <c r="G3" s="28">
        <v>15</v>
      </c>
      <c r="H3" s="28">
        <v>22</v>
      </c>
      <c r="I3" s="28">
        <v>12</v>
      </c>
      <c r="J3" s="28">
        <v>19</v>
      </c>
      <c r="K3" s="28">
        <v>19</v>
      </c>
      <c r="L3" s="28">
        <v>18</v>
      </c>
      <c r="M3" s="28">
        <v>12</v>
      </c>
      <c r="N3" s="28">
        <v>10</v>
      </c>
      <c r="O3" s="29">
        <f t="shared" ref="O3:O41" si="0">IF(N3=0,"",IFERROR(IF(AND(N3&gt;0,D3&lt;0),"na",IF(AND(N3&lt;0,D3&lt;0),-1,1)*(N3-D3)/D3),""))</f>
        <v>-0.6428571428571429</v>
      </c>
      <c r="P3" s="29">
        <f t="shared" ref="P3:P41" si="1">IF(N3=0,"",IFERROR(IF(AND(N3&gt;0,J3&lt;0),"na",IF(AND(N3&lt;0,J3&lt;0),-1,1)*(N3-J3)/J3),""))</f>
        <v>-0.47368421052631576</v>
      </c>
    </row>
    <row r="4" spans="1:17" ht="18" customHeight="1" x14ac:dyDescent="0.2">
      <c r="A4" s="193"/>
      <c r="B4" s="30" t="s">
        <v>55</v>
      </c>
      <c r="C4" s="31"/>
      <c r="D4" s="31">
        <v>5598</v>
      </c>
      <c r="E4" s="31">
        <v>4649</v>
      </c>
      <c r="F4" s="31">
        <v>4524</v>
      </c>
      <c r="G4" s="31">
        <v>2954</v>
      </c>
      <c r="H4" s="31">
        <v>4655</v>
      </c>
      <c r="I4" s="31">
        <v>2635</v>
      </c>
      <c r="J4" s="31">
        <v>3755</v>
      </c>
      <c r="K4" s="31">
        <v>4125</v>
      </c>
      <c r="L4" s="31">
        <v>3704</v>
      </c>
      <c r="M4" s="31">
        <v>2830</v>
      </c>
      <c r="N4" s="31">
        <v>2407</v>
      </c>
      <c r="O4" s="29">
        <f t="shared" si="0"/>
        <v>-0.57002500893176133</v>
      </c>
      <c r="P4" s="29">
        <f t="shared" si="1"/>
        <v>-0.35898801597869506</v>
      </c>
    </row>
    <row r="5" spans="1:17" ht="18" customHeight="1" x14ac:dyDescent="0.2">
      <c r="A5" s="193"/>
      <c r="B5" s="30" t="s">
        <v>56</v>
      </c>
      <c r="C5" s="31"/>
      <c r="D5" s="31">
        <v>1483</v>
      </c>
      <c r="E5" s="31">
        <v>1256</v>
      </c>
      <c r="F5" s="31">
        <v>1358</v>
      </c>
      <c r="G5" s="31">
        <v>779</v>
      </c>
      <c r="H5" s="31">
        <v>1373</v>
      </c>
      <c r="I5" s="31">
        <v>801</v>
      </c>
      <c r="J5" s="31">
        <v>978</v>
      </c>
      <c r="K5" s="31">
        <v>1178</v>
      </c>
      <c r="L5" s="31">
        <v>963</v>
      </c>
      <c r="M5" s="31">
        <v>758</v>
      </c>
      <c r="N5" s="31">
        <v>641</v>
      </c>
      <c r="O5" s="29">
        <f t="shared" si="0"/>
        <v>-0.5677680377612947</v>
      </c>
      <c r="P5" s="29">
        <f t="shared" si="1"/>
        <v>-0.34458077709611451</v>
      </c>
      <c r="Q5" s="32"/>
    </row>
    <row r="6" spans="1:17" ht="18" customHeight="1" x14ac:dyDescent="0.2">
      <c r="A6" s="193"/>
      <c r="B6" s="30" t="s">
        <v>57</v>
      </c>
      <c r="C6" s="31"/>
      <c r="D6" s="31">
        <v>4943.32861328125</v>
      </c>
      <c r="E6" s="31">
        <v>3976.4013671875</v>
      </c>
      <c r="F6" s="31">
        <v>4024.2470703125</v>
      </c>
      <c r="G6" s="31">
        <v>2543.771240234375</v>
      </c>
      <c r="H6" s="31">
        <v>4118.82763671875</v>
      </c>
      <c r="I6" s="31">
        <v>2350.52685546875</v>
      </c>
      <c r="J6" s="31">
        <v>3302.688232421875</v>
      </c>
      <c r="K6" s="31">
        <v>3584.820068359375</v>
      </c>
      <c r="L6" s="31">
        <v>3175.72265625</v>
      </c>
      <c r="M6" s="31">
        <v>2379.5234375</v>
      </c>
      <c r="N6" s="31">
        <v>2023.5546875</v>
      </c>
      <c r="O6" s="29">
        <f t="shared" si="0"/>
        <v>-0.59064936891646003</v>
      </c>
      <c r="P6" s="29">
        <f t="shared" si="1"/>
        <v>-0.38730072441136265</v>
      </c>
    </row>
    <row r="7" spans="1:17" ht="18" customHeight="1" x14ac:dyDescent="0.2">
      <c r="A7" s="193"/>
      <c r="B7" s="30" t="s">
        <v>58</v>
      </c>
      <c r="C7" s="31"/>
      <c r="D7" s="31">
        <v>3958.095458984375</v>
      </c>
      <c r="E7" s="31">
        <v>3767.992919921875</v>
      </c>
      <c r="F7" s="31">
        <v>4452.98583984375</v>
      </c>
      <c r="G7" s="31">
        <v>1750.3048095703125</v>
      </c>
      <c r="H7" s="31">
        <v>2149.273681640625</v>
      </c>
      <c r="I7" s="31">
        <v>1661.08544921875</v>
      </c>
      <c r="J7" s="31">
        <v>1641.4727783203125</v>
      </c>
      <c r="K7" s="31">
        <v>2455.8896484375</v>
      </c>
      <c r="L7" s="31">
        <v>2092.739501953125</v>
      </c>
      <c r="M7" s="31">
        <v>1594.2882080078125</v>
      </c>
      <c r="N7" s="31">
        <v>889.66473388671875</v>
      </c>
      <c r="O7" s="29">
        <f t="shared" si="0"/>
        <v>-0.77522908603245211</v>
      </c>
      <c r="P7" s="29">
        <f t="shared" si="1"/>
        <v>-0.45800823160948451</v>
      </c>
    </row>
    <row r="8" spans="1:17" ht="18" customHeight="1" x14ac:dyDescent="0.2">
      <c r="A8" s="193"/>
      <c r="B8" s="30" t="s">
        <v>59</v>
      </c>
      <c r="C8" s="33"/>
      <c r="D8" s="33">
        <f ca="1">8.0895535*OFFSET(D$112,MATCH($N$1,$C$112:$C$113,0)-1,0)</f>
        <v>8.0895534999999992</v>
      </c>
      <c r="E8" s="33">
        <f ca="1">6.1352985*OFFSET(E$112,MATCH($N$1,$C$112:$C$113,0)-1,0)</f>
        <v>6.1352985000000002</v>
      </c>
      <c r="F8" s="33">
        <f ca="1">6.622923*OFFSET(F$112,MATCH($N$1,$C$112:$C$113,0)-1,0)</f>
        <v>6.6229230000000001</v>
      </c>
      <c r="G8" s="33">
        <f ca="1">3.46280225*OFFSET(G$112,MATCH($N$1,$C$112:$C$113,0)-1,0)</f>
        <v>3.4628022500000002</v>
      </c>
      <c r="H8" s="33">
        <f ca="1">4.6687815*OFFSET(H$112,MATCH($N$1,$C$112:$C$113,0)-1,0)</f>
        <v>4.6687814999999997</v>
      </c>
      <c r="I8" s="33">
        <f ca="1">4.347246*OFFSET(I$112,MATCH($N$1,$C$112:$C$113,0)-1,0)</f>
        <v>4.3472460000000002</v>
      </c>
      <c r="J8" s="33">
        <f ca="1">5.0235415*OFFSET(J$112,MATCH($N$1,$C$112:$C$113,0)-1,0)</f>
        <v>5.0235415000000003</v>
      </c>
      <c r="K8" s="33">
        <f ca="1">6.481688*OFFSET(K$112,MATCH($N$1,$C$112:$C$113,0)-1,0)</f>
        <v>6.4816880000000001</v>
      </c>
      <c r="L8" s="33">
        <f ca="1">6.349528*OFFSET(L$112,MATCH($N$1,$C$112:$C$113,0)-1,0)</f>
        <v>6.3495280000000003</v>
      </c>
      <c r="M8" s="33">
        <f ca="1">3.3292785*OFFSET(M$112,MATCH($N$1,$C$112:$C$113,0)-1,0)</f>
        <v>3.3292785</v>
      </c>
      <c r="N8" s="33">
        <v>1.986820625</v>
      </c>
      <c r="O8" s="29">
        <f t="shared" ca="1" si="0"/>
        <v>-0.75439675069829248</v>
      </c>
      <c r="P8" s="29">
        <f t="shared" ca="1" si="1"/>
        <v>-0.60449801698662187</v>
      </c>
    </row>
    <row r="9" spans="1:17" ht="18" customHeight="1" x14ac:dyDescent="0.2">
      <c r="A9" s="193"/>
      <c r="B9" s="30" t="s">
        <v>60</v>
      </c>
      <c r="C9" s="31"/>
      <c r="D9" s="31">
        <v>3550</v>
      </c>
      <c r="E9" s="31">
        <v>2231</v>
      </c>
      <c r="F9" s="31">
        <v>2582</v>
      </c>
      <c r="G9" s="31">
        <v>1697</v>
      </c>
      <c r="H9" s="31">
        <v>2314</v>
      </c>
      <c r="I9" s="31">
        <v>1496</v>
      </c>
      <c r="J9" s="31">
        <v>1739</v>
      </c>
      <c r="K9" s="31">
        <v>2228</v>
      </c>
      <c r="L9" s="31">
        <v>2553</v>
      </c>
      <c r="M9" s="31">
        <v>1610</v>
      </c>
      <c r="N9" s="31">
        <v>936</v>
      </c>
      <c r="O9" s="29">
        <f t="shared" si="0"/>
        <v>-0.73633802816901406</v>
      </c>
      <c r="P9" s="29">
        <f t="shared" si="1"/>
        <v>-0.46175963197239794</v>
      </c>
    </row>
    <row r="10" spans="1:17" ht="18" customHeight="1" x14ac:dyDescent="0.2">
      <c r="A10" s="193"/>
      <c r="B10" s="30" t="s">
        <v>61</v>
      </c>
      <c r="C10" s="31"/>
      <c r="D10" s="31">
        <v>98.1710205078125</v>
      </c>
      <c r="E10" s="31">
        <v>72.613983154296875</v>
      </c>
      <c r="F10" s="31">
        <v>84.935836791992188</v>
      </c>
      <c r="G10" s="31">
        <v>34.107860565185547</v>
      </c>
      <c r="H10" s="31">
        <v>61.874660491943359</v>
      </c>
      <c r="I10" s="31">
        <v>39.870815277099609</v>
      </c>
      <c r="J10" s="31">
        <v>63.234298706054688</v>
      </c>
      <c r="K10" s="31">
        <v>62.181785583496094</v>
      </c>
      <c r="L10" s="31">
        <v>91.579536437988281</v>
      </c>
      <c r="M10" s="31">
        <v>50.032524108886719</v>
      </c>
      <c r="N10" s="31">
        <v>27.970962524414063</v>
      </c>
      <c r="O10" s="34">
        <f t="shared" si="0"/>
        <v>-0.71507923234649351</v>
      </c>
      <c r="P10" s="34">
        <f t="shared" si="1"/>
        <v>-0.55766153659049211</v>
      </c>
    </row>
    <row r="11" spans="1:17" ht="18" customHeight="1" x14ac:dyDescent="0.2">
      <c r="A11" s="194" t="s">
        <v>27</v>
      </c>
      <c r="B11" s="35" t="s">
        <v>62</v>
      </c>
      <c r="C11" s="36"/>
      <c r="D11" s="36">
        <v>15.614643096923828</v>
      </c>
      <c r="E11" s="36">
        <v>15.719090461730957</v>
      </c>
      <c r="F11" s="36">
        <v>16.469524383544922</v>
      </c>
      <c r="G11" s="36">
        <v>15.020666122436523</v>
      </c>
      <c r="H11" s="36">
        <v>15.974545478820801</v>
      </c>
      <c r="I11" s="36">
        <v>16.316667556762695</v>
      </c>
      <c r="J11" s="36">
        <v>15.110526084899902</v>
      </c>
      <c r="K11" s="36">
        <v>15.835263252258301</v>
      </c>
      <c r="L11" s="36">
        <v>15.00666618347168</v>
      </c>
      <c r="M11" s="36">
        <v>15.739166259765625</v>
      </c>
      <c r="N11" s="36">
        <v>15.955999374389648</v>
      </c>
      <c r="O11" s="29">
        <f t="shared" si="0"/>
        <v>2.1861292336106574E-2</v>
      </c>
      <c r="P11" s="29">
        <f t="shared" si="1"/>
        <v>5.5952604478452662E-2</v>
      </c>
    </row>
    <row r="12" spans="1:17" ht="18" customHeight="1" x14ac:dyDescent="0.2">
      <c r="A12" s="195"/>
      <c r="B12" s="37" t="s">
        <v>55</v>
      </c>
      <c r="C12" s="31"/>
      <c r="D12" s="31">
        <v>199.92857360839844</v>
      </c>
      <c r="E12" s="31">
        <v>211.31817626953125</v>
      </c>
      <c r="F12" s="31">
        <v>215.42857360839844</v>
      </c>
      <c r="G12" s="31">
        <v>196.93333435058594</v>
      </c>
      <c r="H12" s="31">
        <v>211.59091186523438</v>
      </c>
      <c r="I12" s="31">
        <v>219.58332824707031</v>
      </c>
      <c r="J12" s="31">
        <v>197.63157653808594</v>
      </c>
      <c r="K12" s="31">
        <v>217.10527038574219</v>
      </c>
      <c r="L12" s="31">
        <v>205.77777099609375</v>
      </c>
      <c r="M12" s="31">
        <v>235.83332824707031</v>
      </c>
      <c r="N12" s="31">
        <v>240.69999694824219</v>
      </c>
      <c r="O12" s="29">
        <f t="shared" si="0"/>
        <v>0.20392994660034455</v>
      </c>
      <c r="P12" s="29">
        <f t="shared" si="1"/>
        <v>0.21792276904625338</v>
      </c>
    </row>
    <row r="13" spans="1:17" ht="18" customHeight="1" x14ac:dyDescent="0.2">
      <c r="A13" s="195"/>
      <c r="B13" s="37" t="s">
        <v>56</v>
      </c>
      <c r="C13" s="31"/>
      <c r="D13" s="31">
        <v>52.964286804199219</v>
      </c>
      <c r="E13" s="31">
        <v>57.090908050537109</v>
      </c>
      <c r="F13" s="31">
        <v>64.666664123535156</v>
      </c>
      <c r="G13" s="31">
        <v>51.933334350585938</v>
      </c>
      <c r="H13" s="31">
        <v>62.409091949462891</v>
      </c>
      <c r="I13" s="31">
        <v>66.75</v>
      </c>
      <c r="J13" s="31">
        <v>51.473682403564453</v>
      </c>
      <c r="K13" s="31">
        <v>62</v>
      </c>
      <c r="L13" s="31">
        <v>53.5</v>
      </c>
      <c r="M13" s="31">
        <v>63.166667938232422</v>
      </c>
      <c r="N13" s="31">
        <v>64.099998474121094</v>
      </c>
      <c r="O13" s="29">
        <f t="shared" si="0"/>
        <v>0.21024944055395062</v>
      </c>
      <c r="P13" s="29">
        <f t="shared" si="1"/>
        <v>0.2452965375891252</v>
      </c>
    </row>
    <row r="14" spans="1:17" ht="18" customHeight="1" x14ac:dyDescent="0.2">
      <c r="A14" s="195"/>
      <c r="B14" s="37" t="s">
        <v>57</v>
      </c>
      <c r="C14" s="31"/>
      <c r="D14" s="31">
        <v>176.54743957519531</v>
      </c>
      <c r="E14" s="31">
        <v>180.74552917480469</v>
      </c>
      <c r="F14" s="31">
        <v>191.63081359863281</v>
      </c>
      <c r="G14" s="31">
        <v>169.58474731445313</v>
      </c>
      <c r="H14" s="31">
        <v>187.21943664550781</v>
      </c>
      <c r="I14" s="31">
        <v>195.87722778320313</v>
      </c>
      <c r="J14" s="31">
        <v>173.82569885253906</v>
      </c>
      <c r="K14" s="31">
        <v>188.67474365234375</v>
      </c>
      <c r="L14" s="31">
        <v>176.42903137207031</v>
      </c>
      <c r="M14" s="31">
        <v>198.29360961914063</v>
      </c>
      <c r="N14" s="31">
        <v>202.35546875</v>
      </c>
      <c r="O14" s="29">
        <f t="shared" si="0"/>
        <v>0.14618183779330596</v>
      </c>
      <c r="P14" s="29">
        <f t="shared" si="1"/>
        <v>0.16412860748319785</v>
      </c>
    </row>
    <row r="15" spans="1:17" ht="18" customHeight="1" x14ac:dyDescent="0.2">
      <c r="A15" s="195"/>
      <c r="B15" s="37" t="s">
        <v>58</v>
      </c>
      <c r="C15" s="33"/>
      <c r="D15" s="33">
        <v>141.36054992675781</v>
      </c>
      <c r="E15" s="33">
        <v>171.27239990234375</v>
      </c>
      <c r="F15" s="33">
        <v>212.04693603515625</v>
      </c>
      <c r="G15" s="33">
        <v>116.68698883056641</v>
      </c>
      <c r="H15" s="33">
        <v>97.694259643554688</v>
      </c>
      <c r="I15" s="33">
        <v>138.42378234863281</v>
      </c>
      <c r="J15" s="33">
        <v>86.393302917480469</v>
      </c>
      <c r="K15" s="33">
        <v>129.25735473632813</v>
      </c>
      <c r="L15" s="33">
        <v>116.2633056640625</v>
      </c>
      <c r="M15" s="33">
        <v>132.85734558105469</v>
      </c>
      <c r="N15" s="33">
        <v>88.966468811035156</v>
      </c>
      <c r="O15" s="29">
        <f t="shared" si="0"/>
        <v>-0.37064146356864947</v>
      </c>
      <c r="P15" s="29">
        <f t="shared" si="1"/>
        <v>2.9784321314957431E-2</v>
      </c>
    </row>
    <row r="16" spans="1:17" ht="18" customHeight="1" x14ac:dyDescent="0.2">
      <c r="A16" s="195"/>
      <c r="B16" s="37" t="s">
        <v>63</v>
      </c>
      <c r="C16" s="33"/>
      <c r="D16" s="33">
        <f ca="1">288.912625*OFFSET(D$112,MATCH($N$1,$C$112:$C$113,0)-1,0)</f>
        <v>288.91262499999999</v>
      </c>
      <c r="E16" s="33">
        <f ca="1">278.8771875*OFFSET(E$112,MATCH($N$1,$C$112:$C$113,0)-1,0)</f>
        <v>278.87718749999999</v>
      </c>
      <c r="F16" s="33">
        <f ca="1">315.37728125*OFFSET(F$112,MATCH($N$1,$C$112:$C$113,0)-1,0)</f>
        <v>315.37728125000001</v>
      </c>
      <c r="G16" s="33">
        <f ca="1">230.853484375*OFFSET(G$112,MATCH($N$1,$C$112:$C$113,0)-1,0)</f>
        <v>230.85348437499999</v>
      </c>
      <c r="H16" s="33">
        <f ca="1">212.21734375*OFFSET(H$112,MATCH($N$1,$C$112:$C$113,0)-1,0)</f>
        <v>212.21734375</v>
      </c>
      <c r="I16" s="33">
        <f ca="1">362.27053125*OFFSET(I$112,MATCH($N$1,$C$112:$C$113,0)-1,0)</f>
        <v>362.27053124999998</v>
      </c>
      <c r="J16" s="33">
        <f ca="1">264.3969375*OFFSET(J$112,MATCH($N$1,$C$112:$C$113,0)-1,0)</f>
        <v>264.39693749999998</v>
      </c>
      <c r="K16" s="33">
        <f ca="1">341.14146875*OFFSET(K$112,MATCH($N$1,$C$112:$C$113,0)-1,0)</f>
        <v>341.14146875</v>
      </c>
      <c r="L16" s="33">
        <f ca="1">352.7515625*OFFSET(L$112,MATCH($N$1,$C$112:$C$113,0)-1,0)</f>
        <v>352.75156249999998</v>
      </c>
      <c r="M16" s="33">
        <f ca="1">277.439875*OFFSET(M$112,MATCH($N$1,$C$112:$C$113,0)-1,0)</f>
        <v>277.43987499999997</v>
      </c>
      <c r="N16" s="33">
        <v>198.6820625</v>
      </c>
      <c r="O16" s="29">
        <f t="shared" ca="1" si="0"/>
        <v>-0.31231090195521916</v>
      </c>
      <c r="P16" s="29">
        <f t="shared" ca="1" si="1"/>
        <v>-0.24854627902034601</v>
      </c>
    </row>
    <row r="17" spans="1:16" ht="18" customHeight="1" x14ac:dyDescent="0.2">
      <c r="A17" s="195"/>
      <c r="B17" s="37" t="s">
        <v>60</v>
      </c>
      <c r="C17" s="31"/>
      <c r="D17" s="31">
        <v>126.78571319580078</v>
      </c>
      <c r="E17" s="31">
        <v>101.40908813476563</v>
      </c>
      <c r="F17" s="31">
        <v>122.95237731933594</v>
      </c>
      <c r="G17" s="31">
        <v>113.13333129882813</v>
      </c>
      <c r="H17" s="31">
        <v>105.18181610107422</v>
      </c>
      <c r="I17" s="31">
        <v>124.66666412353516</v>
      </c>
      <c r="J17" s="31">
        <v>91.526313781738281</v>
      </c>
      <c r="K17" s="31">
        <v>117.26316070556641</v>
      </c>
      <c r="L17" s="31">
        <v>141.83332824707031</v>
      </c>
      <c r="M17" s="31">
        <v>134.16667175292969</v>
      </c>
      <c r="N17" s="31">
        <v>93.599998474121094</v>
      </c>
      <c r="O17" s="29">
        <f t="shared" si="0"/>
        <v>-0.26174648456194366</v>
      </c>
      <c r="P17" s="29">
        <f t="shared" si="1"/>
        <v>2.2656705014121991E-2</v>
      </c>
    </row>
    <row r="18" spans="1:16" ht="18" customHeight="1" x14ac:dyDescent="0.2">
      <c r="A18" s="195"/>
      <c r="B18" s="37" t="s">
        <v>64</v>
      </c>
      <c r="C18" s="31"/>
      <c r="D18" s="31">
        <v>27.785715103149414</v>
      </c>
      <c r="E18" s="31">
        <v>28.681818008422852</v>
      </c>
      <c r="F18" s="31">
        <v>28.619047164916992</v>
      </c>
      <c r="G18" s="31">
        <v>26.266666412353516</v>
      </c>
      <c r="H18" s="31">
        <v>29</v>
      </c>
      <c r="I18" s="31">
        <v>28</v>
      </c>
      <c r="J18" s="31">
        <v>29.421052932739258</v>
      </c>
      <c r="K18" s="31">
        <v>33.105262756347656</v>
      </c>
      <c r="L18" s="31">
        <v>37</v>
      </c>
      <c r="M18" s="31">
        <v>31.666666030883789</v>
      </c>
      <c r="N18" s="31">
        <v>29.799999237060547</v>
      </c>
      <c r="O18" s="29">
        <f t="shared" si="0"/>
        <v>7.2493514254841712E-2</v>
      </c>
      <c r="P18" s="29">
        <f t="shared" si="1"/>
        <v>1.2880106812887173E-2</v>
      </c>
    </row>
    <row r="19" spans="1:16" ht="18" customHeight="1" x14ac:dyDescent="0.2">
      <c r="A19" s="195"/>
      <c r="B19" s="37" t="s">
        <v>65</v>
      </c>
      <c r="C19" s="38"/>
      <c r="D19" s="38">
        <v>1.1149564981460571</v>
      </c>
      <c r="E19" s="38">
        <v>1.6889255046844482</v>
      </c>
      <c r="F19" s="38">
        <v>1.7246265411376953</v>
      </c>
      <c r="G19" s="38">
        <v>1.0314112901687622</v>
      </c>
      <c r="H19" s="38">
        <v>0.92881321907043457</v>
      </c>
      <c r="I19" s="38">
        <v>1.1103512048721313</v>
      </c>
      <c r="J19" s="38">
        <v>0.94391763210296631</v>
      </c>
      <c r="K19" s="38">
        <v>1.1022844314575195</v>
      </c>
      <c r="L19" s="38">
        <v>0.81971782445907593</v>
      </c>
      <c r="M19" s="38">
        <v>0.99024105072021484</v>
      </c>
      <c r="N19" s="38">
        <v>0.95049649477005005</v>
      </c>
      <c r="O19" s="29">
        <f t="shared" si="0"/>
        <v>-0.14750351574206721</v>
      </c>
      <c r="P19" s="29">
        <f t="shared" si="1"/>
        <v>6.9697423200227827E-3</v>
      </c>
    </row>
    <row r="20" spans="1:16" ht="18" customHeight="1" x14ac:dyDescent="0.2">
      <c r="A20" s="196"/>
      <c r="B20" s="39" t="s">
        <v>28</v>
      </c>
      <c r="C20" s="40"/>
      <c r="D20" s="40">
        <f ca="1">2044*OFFSET(D$112,MATCH($N$1,$C$112:$C$113,0)-1,0)</f>
        <v>2044</v>
      </c>
      <c r="E20" s="40">
        <f ca="1">1628*OFFSET(E$112,MATCH($N$1,$C$112:$C$113,0)-1,0)</f>
        <v>1628</v>
      </c>
      <c r="F20" s="40">
        <f ca="1">1487*OFFSET(F$112,MATCH($N$1,$C$112:$C$113,0)-1,0)</f>
        <v>1487</v>
      </c>
      <c r="G20" s="40">
        <f ca="1">1978*OFFSET(G$112,MATCH($N$1,$C$112:$C$113,0)-1,0)</f>
        <v>1978</v>
      </c>
      <c r="H20" s="40">
        <f ca="1">2172*OFFSET(H$112,MATCH($N$1,$C$112:$C$113,0)-1,0)</f>
        <v>2172</v>
      </c>
      <c r="I20" s="40">
        <f ca="1">2617*OFFSET(I$112,MATCH($N$1,$C$112:$C$113,0)-1,0)</f>
        <v>2617</v>
      </c>
      <c r="J20" s="40">
        <f ca="1">3060*OFFSET(J$112,MATCH($N$1,$C$112:$C$113,0)-1,0)</f>
        <v>3060</v>
      </c>
      <c r="K20" s="40">
        <f ca="1">2639*OFFSET(K$112,MATCH($N$1,$C$112:$C$113,0)-1,0)</f>
        <v>2639</v>
      </c>
      <c r="L20" s="40">
        <f ca="1">3034*OFFSET(L$112,MATCH($N$1,$C$112:$C$113,0)-1,0)</f>
        <v>3034</v>
      </c>
      <c r="M20" s="40">
        <f ca="1">2088*OFFSET(M$112,MATCH($N$1,$C$112:$C$113,0)-1,0)</f>
        <v>2088</v>
      </c>
      <c r="N20" s="40">
        <v>2233</v>
      </c>
      <c r="O20" s="34">
        <f t="shared" ca="1" si="0"/>
        <v>9.2465753424657529E-2</v>
      </c>
      <c r="P20" s="34">
        <f t="shared" ca="1" si="1"/>
        <v>-0.27026143790849672</v>
      </c>
    </row>
    <row r="21" spans="1:16" ht="18" customHeight="1" x14ac:dyDescent="0.2">
      <c r="A21" s="197" t="s">
        <v>29</v>
      </c>
      <c r="B21" s="35" t="s">
        <v>66</v>
      </c>
      <c r="C21" s="41"/>
      <c r="D21" s="41">
        <v>5.5002880272759604</v>
      </c>
      <c r="E21" s="41">
        <v>7.6653301368914653</v>
      </c>
      <c r="F21" s="41">
        <v>7.9114962639964865</v>
      </c>
      <c r="G21" s="41">
        <v>4.9696754209153182</v>
      </c>
      <c r="H21" s="41">
        <v>3.9697490227701131</v>
      </c>
      <c r="I21" s="41">
        <v>4.6695379283710974</v>
      </c>
      <c r="J21" s="41">
        <v>4.5175580097613892</v>
      </c>
      <c r="K21" s="41">
        <v>4.7330681450512442</v>
      </c>
      <c r="L21" s="41">
        <v>3.7099456485360918</v>
      </c>
      <c r="M21" s="41">
        <v>3.8839985959231096</v>
      </c>
      <c r="N21" s="41">
        <v>3.6223688628013289</v>
      </c>
      <c r="O21" s="29">
        <f t="shared" si="0"/>
        <v>-0.34142196829729998</v>
      </c>
      <c r="P21" s="29">
        <f t="shared" si="1"/>
        <v>-0.19815775359735621</v>
      </c>
    </row>
    <row r="22" spans="1:16" ht="18" customHeight="1" x14ac:dyDescent="0.2">
      <c r="A22" s="197"/>
      <c r="B22" s="37" t="s">
        <v>67</v>
      </c>
      <c r="C22" s="38"/>
      <c r="D22" s="38">
        <f ca="1">11.2414860655234*OFFSET(D$112,MATCH($N$1,$C$112:$C$113,0)-1,0)</f>
        <v>11.2414860655234</v>
      </c>
      <c r="E22" s="38">
        <f ca="1">12.4812036910451*OFFSET(E$112,MATCH($N$1,$C$112:$C$113,0)-1,0)</f>
        <v>12.481203691045099</v>
      </c>
      <c r="F22" s="38">
        <f ca="1">11.7667636656871*OFFSET(F$112,MATCH($N$1,$C$112:$C$113,0)-1,0)</f>
        <v>11.766763665687099</v>
      </c>
      <c r="G22" s="38">
        <f ca="1">9.83200353894613*OFFSET(G$112,MATCH($N$1,$C$112:$C$113,0)-1,0)</f>
        <v>9.8320035389461307</v>
      </c>
      <c r="H22" s="38">
        <f ca="1">8.62332747123707*OFFSET(H$112,MATCH($N$1,$C$112:$C$113,0)-1,0)</f>
        <v>8.6233274712370704</v>
      </c>
      <c r="I22" s="38">
        <f ca="1">12.2207033885441*OFFSET(I$112,MATCH($N$1,$C$112:$C$113,0)-1,0)</f>
        <v>12.2207033885441</v>
      </c>
      <c r="J22" s="38">
        <f ca="1">13.8254756147057*OFFSET(J$112,MATCH($N$1,$C$112:$C$113,0)-1,0)</f>
        <v>13.825475614705701</v>
      </c>
      <c r="K22" s="38">
        <f ca="1">12.4917133109395*OFFSET(K$112,MATCH($N$1,$C$112:$C$113,0)-1,0)</f>
        <v>12.491713310939501</v>
      </c>
      <c r="L22" s="38">
        <f ca="1">11.2562524937368*OFFSET(L$112,MATCH($N$1,$C$112:$C$113,0)-1,0)</f>
        <v>11.256252493736801</v>
      </c>
      <c r="M22" s="38">
        <f ca="1">8.11077536014497*OFFSET(M$112,MATCH($N$1,$C$112:$C$113,0)-1,0)</f>
        <v>8.1107753601449701</v>
      </c>
      <c r="N22" s="38">
        <v>8.0895614540551257</v>
      </c>
      <c r="O22" s="29">
        <f t="shared" ca="1" si="0"/>
        <v>-0.28038326899989996</v>
      </c>
      <c r="P22" s="29">
        <f t="shared" ca="1" si="1"/>
        <v>-0.41488006058536409</v>
      </c>
    </row>
    <row r="23" spans="1:16" ht="18" customHeight="1" x14ac:dyDescent="0.2">
      <c r="A23" s="197"/>
      <c r="B23" s="37" t="s">
        <v>11</v>
      </c>
      <c r="C23" s="38"/>
      <c r="D23" s="38">
        <f ca="1">11.8010851077687*OFFSET(D$112,MATCH($N$1,$C$112:$C$113,0)-1,0)</f>
        <v>11.801085107768699</v>
      </c>
      <c r="E23" s="38">
        <f ca="1">12.1782860017979*OFFSET(E$112,MATCH($N$1,$C$112:$C$113,0)-1,0)</f>
        <v>12.1782860017979</v>
      </c>
      <c r="F23" s="38">
        <f ca="1">11.0642462018919*OFFSET(F$112,MATCH($N$1,$C$112:$C$113,0)-1,0)</f>
        <v>11.064246201891899</v>
      </c>
      <c r="G23" s="38">
        <f ca="1">9.20012306122833*OFFSET(G$112,MATCH($N$1,$C$112:$C$113,0)-1,0)</f>
        <v>9.2001230612283305</v>
      </c>
      <c r="H23" s="38">
        <f ca="1">7.72395669355549*OFFSET(H$112,MATCH($N$1,$C$112:$C$113,0)-1,0)</f>
        <v>7.7239566935554897</v>
      </c>
      <c r="I23" s="38">
        <f ca="1">10.2535201703114*OFFSET(I$112,MATCH($N$1,$C$112:$C$113,0)-1,0)</f>
        <v>10.253520170311401</v>
      </c>
      <c r="J23" s="38">
        <f ca="1">12.5354390378365*OFFSET(J$112,MATCH($N$1,$C$112:$C$113,0)-1,0)</f>
        <v>12.5354390378365</v>
      </c>
      <c r="K23" s="38">
        <f ca="1">12.0903407020128*OFFSET(K$112,MATCH($N$1,$C$112:$C$113,0)-1,0)</f>
        <v>12.090340702012799</v>
      </c>
      <c r="L23" s="38">
        <f ca="1">10.6853461079134*OFFSET(L$112,MATCH($N$1,$C$112:$C$113,0)-1,0)</f>
        <v>10.6853461079134</v>
      </c>
      <c r="M23" s="38">
        <f ca="1">7.94159353034623*OFFSET(M$112,MATCH($N$1,$C$112:$C$113,0)-1,0)</f>
        <v>7.9415935303462302</v>
      </c>
      <c r="N23" s="38">
        <v>9.1855084989320765</v>
      </c>
      <c r="O23" s="29">
        <f t="shared" ca="1" si="0"/>
        <v>-0.22163865313663222</v>
      </c>
      <c r="P23" s="29">
        <f t="shared" ca="1" si="1"/>
        <v>-0.26723679392425898</v>
      </c>
    </row>
    <row r="24" spans="1:16" ht="18" customHeight="1" x14ac:dyDescent="0.2">
      <c r="A24" s="197"/>
      <c r="B24" s="37" t="s">
        <v>12</v>
      </c>
      <c r="C24" s="38"/>
      <c r="D24" s="38">
        <f ca="1">3.23843287475435*OFFSET(D$112,MATCH($N$1,$C$112:$C$113,0)-1,0)</f>
        <v>3.2384328747543498</v>
      </c>
      <c r="E24" s="38">
        <f ca="1">2.51450120856517*OFFSET(E$112,MATCH($N$1,$C$112:$C$113,0)-1,0)</f>
        <v>2.5145012085651701</v>
      </c>
      <c r="F24" s="38">
        <f ca="1">1.95593354397518*OFFSET(F$112,MATCH($N$1,$C$112:$C$113,0)-1,0)</f>
        <v>1.9559335439751799</v>
      </c>
      <c r="G24" s="38">
        <f ca="1">1.48618285431178*OFFSET(G$112,MATCH($N$1,$C$112:$C$113,0)-1,0)</f>
        <v>1.4861828543117801</v>
      </c>
      <c r="H24" s="38">
        <f ca="1">1.47202784854189*OFFSET(H$112,MATCH($N$1,$C$112:$C$113,0)-1,0)</f>
        <v>1.4720278485418901</v>
      </c>
      <c r="I24" s="38">
        <f ca="1">2.01637372866347*OFFSET(I$112,MATCH($N$1,$C$112:$C$113,0)-1,0)</f>
        <v>2.0163737286634702</v>
      </c>
      <c r="J24" s="38">
        <f ca="1">5.19322460836686*OFFSET(J$112,MATCH($N$1,$C$112:$C$113,0)-1,0)</f>
        <v>5.1932246083668598</v>
      </c>
      <c r="K24" s="38">
        <f ca="1">1.98836868342714*OFFSET(K$112,MATCH($N$1,$C$112:$C$113,0)-1,0)</f>
        <v>1.9883686834271399</v>
      </c>
      <c r="L24" s="38">
        <f ca="1">1.75843040391275*OFFSET(L$112,MATCH($N$1,$C$112:$C$113,0)-1,0)</f>
        <v>1.7584304039127501</v>
      </c>
      <c r="M24" s="38">
        <f ca="1">1.86497166037766*OFFSET(M$112,MATCH($N$1,$C$112:$C$113,0)-1,0)</f>
        <v>1.86497166037766</v>
      </c>
      <c r="N24" s="38">
        <v>1.1878859382606934</v>
      </c>
      <c r="O24" s="29">
        <f t="shared" ca="1" si="0"/>
        <v>-0.63319111922281235</v>
      </c>
      <c r="P24" s="29">
        <f t="shared" ca="1" si="1"/>
        <v>-0.77126236050971531</v>
      </c>
    </row>
    <row r="25" spans="1:16" ht="18" customHeight="1" x14ac:dyDescent="0.2">
      <c r="A25" s="197"/>
      <c r="B25" s="37" t="s">
        <v>68</v>
      </c>
      <c r="C25" s="33"/>
      <c r="D25" s="33">
        <f ca="1">82.4*OFFSET(D$112,MATCH($N$1,$C$112:$C$113,0)-1,0)</f>
        <v>82.4</v>
      </c>
      <c r="E25" s="33">
        <f ca="1">84.5*OFFSET(E$112,MATCH($N$1,$C$112:$C$113,0)-1,0)</f>
        <v>84.5</v>
      </c>
      <c r="F25" s="33">
        <f ca="1">77.98*OFFSET(F$112,MATCH($N$1,$C$112:$C$113,0)-1,0)</f>
        <v>77.98</v>
      </c>
      <c r="G25" s="33">
        <f ca="1">101.55*OFFSET(G$112,MATCH($N$1,$C$112:$C$113,0)-1,0)</f>
        <v>101.55</v>
      </c>
      <c r="H25" s="33">
        <f ca="1">75.45*OFFSET(H$112,MATCH($N$1,$C$112:$C$113,0)-1,0)</f>
        <v>75.45</v>
      </c>
      <c r="I25" s="33">
        <f ca="1">109.04*OFFSET(I$112,MATCH($N$1,$C$112:$C$113,0)-1,0)</f>
        <v>109.04</v>
      </c>
      <c r="J25" s="33">
        <f ca="1">79.44*OFFSET(J$112,MATCH($N$1,$C$112:$C$113,0)-1,0)</f>
        <v>79.44</v>
      </c>
      <c r="K25" s="33">
        <f ca="1">104.23*OFFSET(K$112,MATCH($N$1,$C$112:$C$113,0)-1,0)</f>
        <v>104.23</v>
      </c>
      <c r="L25" s="33">
        <f ca="1">69.34*OFFSET(L$112,MATCH($N$1,$C$112:$C$113,0)-1,0)</f>
        <v>69.34</v>
      </c>
      <c r="M25" s="33">
        <f ca="1">66.53*OFFSET(M$112,MATCH($N$1,$C$112:$C$113,0)-1,0)</f>
        <v>66.53</v>
      </c>
      <c r="N25" s="33">
        <v>71.040000000000006</v>
      </c>
      <c r="O25" s="29">
        <f t="shared" ca="1" si="0"/>
        <v>-0.13786407766990288</v>
      </c>
      <c r="P25" s="29">
        <f t="shared" ca="1" si="1"/>
        <v>-0.10574018126888207</v>
      </c>
    </row>
    <row r="26" spans="1:16" ht="18" customHeight="1" x14ac:dyDescent="0.2">
      <c r="A26" s="198"/>
      <c r="B26" s="37" t="s">
        <v>69</v>
      </c>
      <c r="C26" s="33"/>
      <c r="D26" s="33">
        <f ca="1">23.73*OFFSET(D$112,MATCH($N$1,$C$112:$C$113,0)-1,0)</f>
        <v>23.73</v>
      </c>
      <c r="E26" s="33">
        <f ca="1">17.03*OFFSET(E$112,MATCH($N$1,$C$112:$C$113,0)-1,0)</f>
        <v>17.03</v>
      </c>
      <c r="F26" s="33">
        <f ca="1">12.96*OFFSET(F$112,MATCH($N$1,$C$112:$C$113,0)-1,0)</f>
        <v>12.96</v>
      </c>
      <c r="G26" s="33">
        <f ca="1">15.35*OFFSET(G$112,MATCH($N$1,$C$112:$C$113,0)-1,0)</f>
        <v>15.35</v>
      </c>
      <c r="H26" s="33">
        <f ca="1">12.87*OFFSET(H$112,MATCH($N$1,$C$112:$C$113,0)-1,0)</f>
        <v>12.87</v>
      </c>
      <c r="I26" s="33">
        <f ca="1">18*OFFSET(I$112,MATCH($N$1,$C$112:$C$113,0)-1,0)</f>
        <v>18</v>
      </c>
      <c r="J26" s="33">
        <f ca="1">29.84*OFFSET(J$112,MATCH($N$1,$C$112:$C$113,0)-1,0)</f>
        <v>29.84</v>
      </c>
      <c r="K26" s="33">
        <f ca="1">16.59*OFFSET(K$112,MATCH($N$1,$C$112:$C$113,0)-1,0)</f>
        <v>16.59</v>
      </c>
      <c r="L26" s="33">
        <f ca="1">10.83*OFFSET(L$112,MATCH($N$1,$C$112:$C$113,0)-1,0)</f>
        <v>10.83</v>
      </c>
      <c r="M26" s="33">
        <f ca="1">15.3*OFFSET(M$112,MATCH($N$1,$C$112:$C$113,0)-1,0)</f>
        <v>15.3</v>
      </c>
      <c r="N26" s="33">
        <v>10.44</v>
      </c>
      <c r="O26" s="34">
        <f t="shared" ca="1" si="0"/>
        <v>-0.5600505689001265</v>
      </c>
      <c r="P26" s="34">
        <f t="shared" ca="1" si="1"/>
        <v>-0.65013404825737264</v>
      </c>
    </row>
    <row r="27" spans="1:16" ht="18" customHeight="1" x14ac:dyDescent="0.2">
      <c r="A27" s="187" t="s">
        <v>30</v>
      </c>
      <c r="B27" s="35" t="s">
        <v>63</v>
      </c>
      <c r="C27" s="36"/>
      <c r="D27" s="36">
        <f ca="1">288.9*OFFSET(D$112,MATCH($N$1,$C$112:$C$113,0)-1,0)</f>
        <v>288.89999999999998</v>
      </c>
      <c r="E27" s="36">
        <f ca="1">278.9*OFFSET(E$112,MATCH($N$1,$C$112:$C$113,0)-1,0)</f>
        <v>278.89999999999998</v>
      </c>
      <c r="F27" s="36">
        <f ca="1">315.4*OFFSET(F$112,MATCH($N$1,$C$112:$C$113,0)-1,0)</f>
        <v>315.39999999999998</v>
      </c>
      <c r="G27" s="36">
        <f ca="1">230.9*OFFSET(G$112,MATCH($N$1,$C$112:$C$113,0)-1,0)</f>
        <v>230.9</v>
      </c>
      <c r="H27" s="36">
        <f ca="1">212.2*OFFSET(H$112,MATCH($N$1,$C$112:$C$113,0)-1,0)</f>
        <v>212.2</v>
      </c>
      <c r="I27" s="36">
        <f ca="1">362.3*OFFSET(I$112,MATCH($N$1,$C$112:$C$113,0)-1,0)</f>
        <v>362.3</v>
      </c>
      <c r="J27" s="36">
        <f ca="1">264.4*OFFSET(J$112,MATCH($N$1,$C$112:$C$113,0)-1,0)</f>
        <v>264.39999999999998</v>
      </c>
      <c r="K27" s="36">
        <f ca="1">341.1*OFFSET(K$112,MATCH($N$1,$C$112:$C$113,0)-1,0)</f>
        <v>341.1</v>
      </c>
      <c r="L27" s="36">
        <f ca="1">352.8*OFFSET(L$112,MATCH($N$1,$C$112:$C$113,0)-1,0)</f>
        <v>352.8</v>
      </c>
      <c r="M27" s="36">
        <f ca="1">277.4*OFFSET(M$112,MATCH($N$1,$C$112:$C$113,0)-1,0)</f>
        <v>277.39999999999998</v>
      </c>
      <c r="N27" s="36">
        <v>198.70000000000002</v>
      </c>
      <c r="O27" s="29">
        <f t="shared" ca="1" si="0"/>
        <v>-0.31221876081689154</v>
      </c>
      <c r="P27" s="29">
        <f t="shared" ca="1" si="1"/>
        <v>-0.24848714069591515</v>
      </c>
    </row>
    <row r="28" spans="1:16" ht="18" customHeight="1" x14ac:dyDescent="0.2">
      <c r="A28" s="199"/>
      <c r="B28" s="37" t="s">
        <v>70</v>
      </c>
      <c r="C28" s="33"/>
      <c r="D28" s="33">
        <f ca="1">97.6*OFFSET(D$112,MATCH($N$1,$C$112:$C$113,0)-1,0)</f>
        <v>97.6</v>
      </c>
      <c r="E28" s="33">
        <f ca="1">49.4*OFFSET(E$112,MATCH($N$1,$C$112:$C$113,0)-1,0)</f>
        <v>49.4</v>
      </c>
      <c r="F28" s="33">
        <f ca="1">33.6*OFFSET(F$112,MATCH($N$1,$C$112:$C$113,0)-1,0)</f>
        <v>33.6</v>
      </c>
      <c r="G28" s="33">
        <f ca="1">20.1*OFFSET(G$112,MATCH($N$1,$C$112:$C$113,0)-1,0)</f>
        <v>20.100000000000001</v>
      </c>
      <c r="H28" s="33">
        <f ca="1">14.1*OFFSET(H$112,MATCH($N$1,$C$112:$C$113,0)-1,0)</f>
        <v>14.1</v>
      </c>
      <c r="I28" s="33">
        <f ca="1">1.5*OFFSET(I$112,MATCH($N$1,$C$112:$C$113,0)-1,0)</f>
        <v>1.5</v>
      </c>
      <c r="J28" s="33">
        <f ca="1">74.6*OFFSET(J$112,MATCH($N$1,$C$112:$C$113,0)-1,0)</f>
        <v>74.599999999999994</v>
      </c>
      <c r="K28" s="33">
        <f ca="1">43.3*OFFSET(K$112,MATCH($N$1,$C$112:$C$113,0)-1,0)</f>
        <v>43.3</v>
      </c>
      <c r="L28" s="33">
        <f ca="1">37.2*OFFSET(L$112,MATCH($N$1,$C$112:$C$113,0)-1,0)</f>
        <v>37.200000000000003</v>
      </c>
      <c r="M28" s="33">
        <f ca="1">58*OFFSET(M$112,MATCH($N$1,$C$112:$C$113,0)-1,0)</f>
        <v>58</v>
      </c>
      <c r="N28" s="33">
        <v>56.1</v>
      </c>
      <c r="O28" s="29">
        <f t="shared" ca="1" si="0"/>
        <v>-0.42520491803278682</v>
      </c>
      <c r="P28" s="29">
        <f t="shared" ca="1" si="1"/>
        <v>-0.2479892761394101</v>
      </c>
    </row>
    <row r="29" spans="1:16" ht="18" customHeight="1" x14ac:dyDescent="0.2">
      <c r="A29" s="199"/>
      <c r="B29" s="42" t="s">
        <v>71</v>
      </c>
      <c r="C29" s="43"/>
      <c r="D29" s="43">
        <f ca="1">386.5*OFFSET(D$112,MATCH($N$1,$C$112:$C$113,0)-1,0)</f>
        <v>386.5</v>
      </c>
      <c r="E29" s="43">
        <f ca="1">328.3*OFFSET(E$112,MATCH($N$1,$C$112:$C$113,0)-1,0)</f>
        <v>328.3</v>
      </c>
      <c r="F29" s="43">
        <f ca="1">349*OFFSET(F$112,MATCH($N$1,$C$112:$C$113,0)-1,0)</f>
        <v>349</v>
      </c>
      <c r="G29" s="43">
        <f ca="1">250.9*OFFSET(G$112,MATCH($N$1,$C$112:$C$113,0)-1,0)</f>
        <v>250.9</v>
      </c>
      <c r="H29" s="43">
        <f ca="1">226.3*OFFSET(H$112,MATCH($N$1,$C$112:$C$113,0)-1,0)</f>
        <v>226.3</v>
      </c>
      <c r="I29" s="43">
        <f ca="1">363.7*OFFSET(I$112,MATCH($N$1,$C$112:$C$113,0)-1,0)</f>
        <v>363.7</v>
      </c>
      <c r="J29" s="43">
        <f ca="1">339*OFFSET(J$112,MATCH($N$1,$C$112:$C$113,0)-1,0)</f>
        <v>339</v>
      </c>
      <c r="K29" s="43">
        <f ca="1">384.5*OFFSET(K$112,MATCH($N$1,$C$112:$C$113,0)-1,0)</f>
        <v>384.5</v>
      </c>
      <c r="L29" s="43">
        <f ca="1">390*OFFSET(L$112,MATCH($N$1,$C$112:$C$113,0)-1,0)</f>
        <v>390</v>
      </c>
      <c r="M29" s="43">
        <f ca="1">335.4*OFFSET(M$112,MATCH($N$1,$C$112:$C$113,0)-1,0)</f>
        <v>335.4</v>
      </c>
      <c r="N29" s="43">
        <v>254.8</v>
      </c>
      <c r="O29" s="29">
        <f t="shared" ca="1" si="0"/>
        <v>-0.34075032341526518</v>
      </c>
      <c r="P29" s="29">
        <f t="shared" ca="1" si="1"/>
        <v>-0.24837758112094391</v>
      </c>
    </row>
    <row r="30" spans="1:16" ht="18" customHeight="1" x14ac:dyDescent="0.2">
      <c r="A30" s="199"/>
      <c r="B30" s="37" t="s">
        <v>72</v>
      </c>
      <c r="C30" s="33"/>
      <c r="D30" s="33">
        <f ca="1">53.9*OFFSET(D$112,MATCH($N$1,$C$112:$C$113,0)-1,0)</f>
        <v>53.9</v>
      </c>
      <c r="E30" s="33">
        <f ca="1">45.8*OFFSET(E$112,MATCH($N$1,$C$112:$C$113,0)-1,0)</f>
        <v>45.8</v>
      </c>
      <c r="F30" s="33">
        <f ca="1">55.1*OFFSET(F$112,MATCH($N$1,$C$112:$C$113,0)-1,0)</f>
        <v>55.1</v>
      </c>
      <c r="G30" s="33">
        <f ca="1">41.7*OFFSET(G$112,MATCH($N$1,$C$112:$C$113,0)-1,0)</f>
        <v>41.7</v>
      </c>
      <c r="H30" s="33">
        <f ca="1">29.6*OFFSET(H$112,MATCH($N$1,$C$112:$C$113,0)-1,0)</f>
        <v>29.6</v>
      </c>
      <c r="I30" s="33">
        <f ca="1">33.5*OFFSET(I$112,MATCH($N$1,$C$112:$C$113,0)-1,0)</f>
        <v>33.5</v>
      </c>
      <c r="J30" s="33">
        <f ca="1">26.8*OFFSET(J$112,MATCH($N$1,$C$112:$C$113,0)-1,0)</f>
        <v>26.8</v>
      </c>
      <c r="K30" s="33">
        <f ca="1">44.5*OFFSET(K$112,MATCH($N$1,$C$112:$C$113,0)-1,0)</f>
        <v>44.5</v>
      </c>
      <c r="L30" s="33">
        <f ca="1">48.9*OFFSET(L$112,MATCH($N$1,$C$112:$C$113,0)-1,0)</f>
        <v>48.9</v>
      </c>
      <c r="M30" s="33">
        <f ca="1">36.5*OFFSET(M$112,MATCH($N$1,$C$112:$C$113,0)-1,0)</f>
        <v>36.5</v>
      </c>
      <c r="N30" s="33">
        <v>31.8</v>
      </c>
      <c r="O30" s="29">
        <f t="shared" ca="1" si="0"/>
        <v>-0.41001855287569572</v>
      </c>
      <c r="P30" s="29">
        <f t="shared" ca="1" si="1"/>
        <v>0.18656716417910446</v>
      </c>
    </row>
    <row r="31" spans="1:16" ht="18" customHeight="1" x14ac:dyDescent="0.2">
      <c r="A31" s="199"/>
      <c r="B31" s="37" t="s">
        <v>73</v>
      </c>
      <c r="C31" s="33"/>
      <c r="D31" s="33">
        <f ca="1">101.4*OFFSET(D$112,MATCH($N$1,$C$112:$C$113,0)-1,0)</f>
        <v>101.4</v>
      </c>
      <c r="E31" s="33">
        <f ca="1">81.7*OFFSET(E$112,MATCH($N$1,$C$112:$C$113,0)-1,0)</f>
        <v>81.7</v>
      </c>
      <c r="F31" s="33">
        <f ca="1">76.1*OFFSET(F$112,MATCH($N$1,$C$112:$C$113,0)-1,0)</f>
        <v>76.099999999999994</v>
      </c>
      <c r="G31" s="33">
        <f ca="1">58.9*OFFSET(G$112,MATCH($N$1,$C$112:$C$113,0)-1,0)</f>
        <v>58.9</v>
      </c>
      <c r="H31" s="33">
        <f ca="1">46*OFFSET(H$112,MATCH($N$1,$C$112:$C$113,0)-1,0)</f>
        <v>46</v>
      </c>
      <c r="I31" s="33">
        <f ca="1">94.8*OFFSET(I$112,MATCH($N$1,$C$112:$C$113,0)-1,0)</f>
        <v>94.8</v>
      </c>
      <c r="J31" s="33">
        <f ca="1">65.8*OFFSET(J$112,MATCH($N$1,$C$112:$C$113,0)-1,0)</f>
        <v>65.8</v>
      </c>
      <c r="K31" s="33">
        <f ca="1">75.5*OFFSET(K$112,MATCH($N$1,$C$112:$C$113,0)-1,0)</f>
        <v>75.5</v>
      </c>
      <c r="L31" s="33">
        <f ca="1">77.5*OFFSET(L$112,MATCH($N$1,$C$112:$C$113,0)-1,0)</f>
        <v>77.5</v>
      </c>
      <c r="M31" s="33">
        <f ca="1">62.5*OFFSET(M$112,MATCH($N$1,$C$112:$C$113,0)-1,0)</f>
        <v>62.5</v>
      </c>
      <c r="N31" s="33">
        <v>44.9</v>
      </c>
      <c r="O31" s="29">
        <f t="shared" ca="1" si="0"/>
        <v>-0.55719921104536496</v>
      </c>
      <c r="P31" s="29">
        <f t="shared" ca="1" si="1"/>
        <v>-0.31762917933130697</v>
      </c>
    </row>
    <row r="32" spans="1:16" ht="18" customHeight="1" x14ac:dyDescent="0.2">
      <c r="A32" s="199"/>
      <c r="B32" s="37" t="s">
        <v>74</v>
      </c>
      <c r="C32" s="33"/>
      <c r="D32" s="33">
        <f ca="1">60.4*OFFSET(D$112,MATCH($N$1,$C$112:$C$113,0)-1,0)</f>
        <v>60.4</v>
      </c>
      <c r="E32" s="33">
        <f ca="1">74.8*OFFSET(E$112,MATCH($N$1,$C$112:$C$113,0)-1,0)</f>
        <v>74.8</v>
      </c>
      <c r="F32" s="33">
        <f ca="1">87.1*OFFSET(F$112,MATCH($N$1,$C$112:$C$113,0)-1,0)</f>
        <v>87.1</v>
      </c>
      <c r="G32" s="33">
        <f ca="1">58.5*OFFSET(G$112,MATCH($N$1,$C$112:$C$113,0)-1,0)</f>
        <v>58.5</v>
      </c>
      <c r="H32" s="33">
        <f ca="1">52.2*OFFSET(H$112,MATCH($N$1,$C$112:$C$113,0)-1,0)</f>
        <v>52.2</v>
      </c>
      <c r="I32" s="33">
        <f ca="1">93.9*OFFSET(I$112,MATCH($N$1,$C$112:$C$113,0)-1,0)</f>
        <v>93.9</v>
      </c>
      <c r="J32" s="33">
        <f ca="1">70.8*OFFSET(J$112,MATCH($N$1,$C$112:$C$113,0)-1,0)</f>
        <v>70.8</v>
      </c>
      <c r="K32" s="33">
        <f ca="1">90.8*OFFSET(K$112,MATCH($N$1,$C$112:$C$113,0)-1,0)</f>
        <v>90.8</v>
      </c>
      <c r="L32" s="33">
        <f ca="1">102.8*OFFSET(L$112,MATCH($N$1,$C$112:$C$113,0)-1,0)</f>
        <v>102.8</v>
      </c>
      <c r="M32" s="33">
        <f ca="1">82.3*OFFSET(M$112,MATCH($N$1,$C$112:$C$113,0)-1,0)</f>
        <v>82.3</v>
      </c>
      <c r="N32" s="33">
        <v>53.2</v>
      </c>
      <c r="O32" s="29">
        <f t="shared" ca="1" si="0"/>
        <v>-0.11920529801324496</v>
      </c>
      <c r="P32" s="29">
        <f t="shared" ca="1" si="1"/>
        <v>-0.24858757062146886</v>
      </c>
    </row>
    <row r="33" spans="1:16" ht="18" customHeight="1" x14ac:dyDescent="0.2">
      <c r="A33" s="199"/>
      <c r="B33" s="37" t="s">
        <v>75</v>
      </c>
      <c r="C33" s="33"/>
      <c r="D33" s="33">
        <f ca="1">215.7*OFFSET(D$112,MATCH($N$1,$C$112:$C$113,0)-1,0)</f>
        <v>215.7</v>
      </c>
      <c r="E33" s="33">
        <f ca="1">202.3*OFFSET(E$112,MATCH($N$1,$C$112:$C$113,0)-1,0)</f>
        <v>202.3</v>
      </c>
      <c r="F33" s="33">
        <f ca="1">218.3*OFFSET(F$112,MATCH($N$1,$C$112:$C$113,0)-1,0)</f>
        <v>218.3</v>
      </c>
      <c r="G33" s="33">
        <f ca="1">159*OFFSET(G$112,MATCH($N$1,$C$112:$C$113,0)-1,0)</f>
        <v>159</v>
      </c>
      <c r="H33" s="33">
        <f ca="1">127.9*OFFSET(H$112,MATCH($N$1,$C$112:$C$113,0)-1,0)</f>
        <v>127.9</v>
      </c>
      <c r="I33" s="33">
        <f ca="1">222.3*OFFSET(I$112,MATCH($N$1,$C$112:$C$113,0)-1,0)</f>
        <v>222.3</v>
      </c>
      <c r="J33" s="33">
        <f ca="1">163.5*OFFSET(J$112,MATCH($N$1,$C$112:$C$113,0)-1,0)</f>
        <v>163.5</v>
      </c>
      <c r="K33" s="33">
        <f ca="1">210.8*OFFSET(K$112,MATCH($N$1,$C$112:$C$113,0)-1,0)</f>
        <v>210.8</v>
      </c>
      <c r="L33" s="33">
        <f ca="1">229.2*OFFSET(L$112,MATCH($N$1,$C$112:$C$113,0)-1,0)</f>
        <v>229.2</v>
      </c>
      <c r="M33" s="33">
        <f ca="1">181.3*OFFSET(M$112,MATCH($N$1,$C$112:$C$113,0)-1,0)</f>
        <v>181.3</v>
      </c>
      <c r="N33" s="33">
        <v>129.9</v>
      </c>
      <c r="O33" s="29">
        <f t="shared" ca="1" si="0"/>
        <v>-0.3977746870653685</v>
      </c>
      <c r="P33" s="29">
        <f t="shared" ca="1" si="1"/>
        <v>-0.20550458715596326</v>
      </c>
    </row>
    <row r="34" spans="1:16" ht="18" customHeight="1" x14ac:dyDescent="0.2">
      <c r="A34" s="199"/>
      <c r="B34" s="37" t="s">
        <v>76</v>
      </c>
      <c r="C34" s="33"/>
      <c r="D34" s="33">
        <f ca="1">87.6*OFFSET(D$112,MATCH($N$1,$C$112:$C$113,0)-1,0)</f>
        <v>87.6</v>
      </c>
      <c r="E34" s="33">
        <f ca="1">69.8*OFFSET(E$112,MATCH($N$1,$C$112:$C$113,0)-1,0)</f>
        <v>69.8</v>
      </c>
      <c r="F34" s="33">
        <f ca="1">78.3*OFFSET(F$112,MATCH($N$1,$C$112:$C$113,0)-1,0)</f>
        <v>78.3</v>
      </c>
      <c r="G34" s="33">
        <f ca="1">57*OFFSET(G$112,MATCH($N$1,$C$112:$C$113,0)-1,0)</f>
        <v>57</v>
      </c>
      <c r="H34" s="33">
        <f ca="1">62.2*OFFSET(H$112,MATCH($N$1,$C$112:$C$113,0)-1,0)</f>
        <v>62.2</v>
      </c>
      <c r="I34" s="33">
        <f ca="1">81.7*OFFSET(I$112,MATCH($N$1,$C$112:$C$113,0)-1,0)</f>
        <v>81.7</v>
      </c>
      <c r="J34" s="33">
        <f ca="1">76.2*OFFSET(J$112,MATCH($N$1,$C$112:$C$113,0)-1,0)</f>
        <v>76.2</v>
      </c>
      <c r="K34" s="33">
        <f ca="1">119.3*OFFSET(K$112,MATCH($N$1,$C$112:$C$113,0)-1,0)</f>
        <v>119.3</v>
      </c>
      <c r="L34" s="33">
        <f ca="1">105.6*OFFSET(L$112,MATCH($N$1,$C$112:$C$113,0)-1,0)</f>
        <v>105.6</v>
      </c>
      <c r="M34" s="33">
        <f ca="1">90.4*OFFSET(M$112,MATCH($N$1,$C$112:$C$113,0)-1,0)</f>
        <v>90.4</v>
      </c>
      <c r="N34" s="33">
        <v>95.7</v>
      </c>
      <c r="O34" s="29">
        <f t="shared" ca="1" si="0"/>
        <v>9.246575342465764E-2</v>
      </c>
      <c r="P34" s="29">
        <f t="shared" ca="1" si="1"/>
        <v>0.25590551181102361</v>
      </c>
    </row>
    <row r="35" spans="1:16" ht="18" customHeight="1" x14ac:dyDescent="0.2">
      <c r="A35" s="199"/>
      <c r="B35" s="37" t="s">
        <v>77</v>
      </c>
      <c r="C35" s="33"/>
      <c r="D35" s="33">
        <f ca="1">303.3*OFFSET(D$112,MATCH($N$1,$C$112:$C$113,0)-1,0)</f>
        <v>303.3</v>
      </c>
      <c r="E35" s="33">
        <f ca="1">272.1*OFFSET(E$112,MATCH($N$1,$C$112:$C$113,0)-1,0)</f>
        <v>272.10000000000002</v>
      </c>
      <c r="F35" s="33">
        <f ca="1">296.5*OFFSET(F$112,MATCH($N$1,$C$112:$C$113,0)-1,0)</f>
        <v>296.5</v>
      </c>
      <c r="G35" s="33">
        <f ca="1">216*OFFSET(G$112,MATCH($N$1,$C$112:$C$113,0)-1,0)</f>
        <v>216</v>
      </c>
      <c r="H35" s="33">
        <f ca="1">190.1*OFFSET(H$112,MATCH($N$1,$C$112:$C$113,0)-1,0)</f>
        <v>190.1</v>
      </c>
      <c r="I35" s="33">
        <f ca="1">304*OFFSET(I$112,MATCH($N$1,$C$112:$C$113,0)-1,0)</f>
        <v>304</v>
      </c>
      <c r="J35" s="33">
        <f ca="1">239.7*OFFSET(J$112,MATCH($N$1,$C$112:$C$113,0)-1,0)</f>
        <v>239.7</v>
      </c>
      <c r="K35" s="33">
        <f ca="1">330.2*OFFSET(K$112,MATCH($N$1,$C$112:$C$113,0)-1,0)</f>
        <v>330.2</v>
      </c>
      <c r="L35" s="33">
        <f ca="1">334.9*OFFSET(L$112,MATCH($N$1,$C$112:$C$113,0)-1,0)</f>
        <v>334.9</v>
      </c>
      <c r="M35" s="33">
        <f ca="1">271.7*OFFSET(M$112,MATCH($N$1,$C$112:$C$113,0)-1,0)</f>
        <v>271.7</v>
      </c>
      <c r="N35" s="33">
        <v>225.6</v>
      </c>
      <c r="O35" s="29">
        <f t="shared" ca="1" si="0"/>
        <v>-0.25618199802176067</v>
      </c>
      <c r="P35" s="29">
        <f t="shared" ca="1" si="1"/>
        <v>-5.8823529411764684E-2</v>
      </c>
    </row>
    <row r="36" spans="1:16" ht="18" customHeight="1" x14ac:dyDescent="0.2">
      <c r="A36" s="199"/>
      <c r="B36" s="42" t="s">
        <v>78</v>
      </c>
      <c r="C36" s="43"/>
      <c r="D36" s="43">
        <f ca="1">184.6*OFFSET(D$112,MATCH($N$1,$C$112:$C$113,0)-1,0)</f>
        <v>184.6</v>
      </c>
      <c r="E36" s="43">
        <f ca="1">137.9*OFFSET(E$112,MATCH($N$1,$C$112:$C$113,0)-1,0)</f>
        <v>137.9</v>
      </c>
      <c r="F36" s="43">
        <f ca="1">128.5*OFFSET(F$112,MATCH($N$1,$C$112:$C$113,0)-1,0)</f>
        <v>128.5</v>
      </c>
      <c r="G36" s="43">
        <f ca="1">93.8*OFFSET(G$112,MATCH($N$1,$C$112:$C$113,0)-1,0)</f>
        <v>93.8</v>
      </c>
      <c r="H36" s="43">
        <f ca="1">82.2*OFFSET(H$112,MATCH($N$1,$C$112:$C$113,0)-1,0)</f>
        <v>82.2</v>
      </c>
      <c r="I36" s="43">
        <f ca="1">154.6*OFFSET(I$112,MATCH($N$1,$C$112:$C$113,0)-1,0)</f>
        <v>154.6</v>
      </c>
      <c r="J36" s="43">
        <f ca="1">165.1*OFFSET(J$112,MATCH($N$1,$C$112:$C$113,0)-1,0)</f>
        <v>165.1</v>
      </c>
      <c r="K36" s="43">
        <f ca="1">129.8*OFFSET(K$112,MATCH($N$1,$C$112:$C$113,0)-1,0)</f>
        <v>129.80000000000001</v>
      </c>
      <c r="L36" s="43">
        <f ca="1">132.6*OFFSET(L$112,MATCH($N$1,$C$112:$C$113,0)-1,0)</f>
        <v>132.6</v>
      </c>
      <c r="M36" s="43">
        <f ca="1">126.3*OFFSET(M$112,MATCH($N$1,$C$112:$C$113,0)-1,0)</f>
        <v>126.3</v>
      </c>
      <c r="N36" s="43">
        <v>74.099999999999994</v>
      </c>
      <c r="O36" s="29">
        <f t="shared" ca="1" si="0"/>
        <v>-0.59859154929577463</v>
      </c>
      <c r="P36" s="29">
        <f t="shared" ca="1" si="1"/>
        <v>-0.55118110236220474</v>
      </c>
    </row>
    <row r="37" spans="1:16" ht="18" customHeight="1" x14ac:dyDescent="0.2">
      <c r="A37" s="199"/>
      <c r="B37" s="42" t="s">
        <v>79</v>
      </c>
      <c r="C37" s="43"/>
      <c r="D37" s="43">
        <f ca="1">83.2*OFFSET(D$112,MATCH($N$1,$C$112:$C$113,0)-1,0)</f>
        <v>83.2</v>
      </c>
      <c r="E37" s="43">
        <f ca="1">56.2*OFFSET(E$112,MATCH($N$1,$C$112:$C$113,0)-1,0)</f>
        <v>56.2</v>
      </c>
      <c r="F37" s="43">
        <f ca="1">52.4*OFFSET(F$112,MATCH($N$1,$C$112:$C$113,0)-1,0)</f>
        <v>52.4</v>
      </c>
      <c r="G37" s="43">
        <f ca="1">34.9*OFFSET(G$112,MATCH($N$1,$C$112:$C$113,0)-1,0)</f>
        <v>34.9</v>
      </c>
      <c r="H37" s="43">
        <f ca="1">36.2*OFFSET(H$112,MATCH($N$1,$C$112:$C$113,0)-1,0)</f>
        <v>36.200000000000003</v>
      </c>
      <c r="I37" s="43">
        <f ca="1">59.8*OFFSET(I$112,MATCH($N$1,$C$112:$C$113,0)-1,0)</f>
        <v>59.8</v>
      </c>
      <c r="J37" s="43">
        <f ca="1">99.3*OFFSET(J$112,MATCH($N$1,$C$112:$C$113,0)-1,0)</f>
        <v>99.3</v>
      </c>
      <c r="K37" s="43">
        <f ca="1">54.3*OFFSET(K$112,MATCH($N$1,$C$112:$C$113,0)-1,0)</f>
        <v>54.3</v>
      </c>
      <c r="L37" s="43">
        <f ca="1">55.1*OFFSET(L$112,MATCH($N$1,$C$112:$C$113,0)-1,0)</f>
        <v>55.1</v>
      </c>
      <c r="M37" s="43">
        <f ca="1">63.8*OFFSET(M$112,MATCH($N$1,$C$112:$C$113,0)-1,0)</f>
        <v>63.8</v>
      </c>
      <c r="N37" s="43">
        <v>29.2</v>
      </c>
      <c r="O37" s="29">
        <f t="shared" ca="1" si="0"/>
        <v>-0.64903846153846156</v>
      </c>
      <c r="P37" s="29">
        <f t="shared" ca="1" si="1"/>
        <v>-0.70594159113796573</v>
      </c>
    </row>
    <row r="38" spans="1:16" ht="18" customHeight="1" x14ac:dyDescent="0.2">
      <c r="A38" s="199"/>
      <c r="B38" s="37" t="s">
        <v>80</v>
      </c>
      <c r="C38" s="33"/>
      <c r="D38" s="33">
        <f ca="1">14*OFFSET(D$112,MATCH($N$1,$C$112:$C$113,0)-1,0)</f>
        <v>14</v>
      </c>
      <c r="E38" s="33">
        <f ca="1">14.9*OFFSET(E$112,MATCH($N$1,$C$112:$C$113,0)-1,0)</f>
        <v>14.9</v>
      </c>
      <c r="F38" s="33">
        <f ca="1">12.9*OFFSET(F$112,MATCH($N$1,$C$112:$C$113,0)-1,0)</f>
        <v>12.9</v>
      </c>
      <c r="G38" s="33">
        <f ca="1">12.8*OFFSET(G$112,MATCH($N$1,$C$112:$C$113,0)-1,0)</f>
        <v>12.8</v>
      </c>
      <c r="H38" s="33">
        <f ca="1">20.2*OFFSET(H$112,MATCH($N$1,$C$112:$C$113,0)-1,0)</f>
        <v>20.2</v>
      </c>
      <c r="I38" s="33">
        <f ca="1">12.9*OFFSET(I$112,MATCH($N$1,$C$112:$C$113,0)-1,0)</f>
        <v>12.9</v>
      </c>
      <c r="J38" s="33">
        <f ca="1">15.4*OFFSET(J$112,MATCH($N$1,$C$112:$C$113,0)-1,0)</f>
        <v>15.4</v>
      </c>
      <c r="K38" s="33">
        <f ca="1">12.8*OFFSET(K$112,MATCH($N$1,$C$112:$C$113,0)-1,0)</f>
        <v>12.8</v>
      </c>
      <c r="L38" s="33">
        <f ca="1">13.3*OFFSET(L$112,MATCH($N$1,$C$112:$C$113,0)-1,0)</f>
        <v>13.3</v>
      </c>
      <c r="M38" s="33">
        <f ca="1">1.3*OFFSET(M$112,MATCH($N$1,$C$112:$C$113,0)-1,0)</f>
        <v>1.3</v>
      </c>
      <c r="N38" s="33"/>
      <c r="O38" s="29" t="str">
        <f t="shared" si="0"/>
        <v/>
      </c>
      <c r="P38" s="29" t="str">
        <f t="shared" si="1"/>
        <v/>
      </c>
    </row>
    <row r="39" spans="1:16" ht="18" customHeight="1" x14ac:dyDescent="0.2">
      <c r="A39" s="199"/>
      <c r="B39" s="37" t="s">
        <v>81</v>
      </c>
      <c r="C39" s="33"/>
      <c r="D39" s="33">
        <f ca="1">3.5*OFFSET(D$112,MATCH($N$1,$C$112:$C$113,0)-1,0)</f>
        <v>3.5</v>
      </c>
      <c r="E39" s="33">
        <f ca="1">3.4*OFFSET(E$112,MATCH($N$1,$C$112:$C$113,0)-1,0)</f>
        <v>3.4</v>
      </c>
      <c r="F39" s="33">
        <f ca="1">3.3*OFFSET(F$112,MATCH($N$1,$C$112:$C$113,0)-1,0)</f>
        <v>3.3</v>
      </c>
      <c r="G39" s="33">
        <f ca="1">2.1*OFFSET(G$112,MATCH($N$1,$C$112:$C$113,0)-1,0)</f>
        <v>2.1</v>
      </c>
      <c r="H39" s="33">
        <f ca="1">2.8*OFFSET(H$112,MATCH($N$1,$C$112:$C$113,0)-1,0)</f>
        <v>2.8</v>
      </c>
      <c r="I39" s="33">
        <f ca="1">0.8*OFFSET(I$112,MATCH($N$1,$C$112:$C$113,0)-1,0)</f>
        <v>0.8</v>
      </c>
      <c r="J39" s="33">
        <f ca="1">0.9*OFFSET(J$112,MATCH($N$1,$C$112:$C$113,0)-1,0)</f>
        <v>0.9</v>
      </c>
      <c r="K39" s="33">
        <f ca="1">4.4*OFFSET(K$112,MATCH($N$1,$C$112:$C$113,0)-1,0)</f>
        <v>4.4000000000000004</v>
      </c>
      <c r="L39" s="33">
        <f ca="1">5.6*OFFSET(L$112,MATCH($N$1,$C$112:$C$113,0)-1,0)</f>
        <v>5.6</v>
      </c>
      <c r="M39" s="33">
        <f ca="1">7.6*OFFSET(M$112,MATCH($N$1,$C$112:$C$113,0)-1,0)</f>
        <v>7.6</v>
      </c>
      <c r="N39" s="33"/>
      <c r="O39" s="29" t="str">
        <f t="shared" si="0"/>
        <v/>
      </c>
      <c r="P39" s="29" t="str">
        <f t="shared" si="1"/>
        <v/>
      </c>
    </row>
    <row r="40" spans="1:16" ht="18" customHeight="1" x14ac:dyDescent="0.2">
      <c r="A40" s="199"/>
      <c r="B40" s="37" t="s">
        <v>82</v>
      </c>
      <c r="C40" s="33"/>
      <c r="D40" s="33">
        <f ca="1">2.2*OFFSET(D$112,MATCH($N$1,$C$112:$C$113,0)-1,0)</f>
        <v>2.2000000000000002</v>
      </c>
      <c r="E40" s="33">
        <f ca="1">1*OFFSET(E$112,MATCH($N$1,$C$112:$C$113,0)-1,0)</f>
        <v>1</v>
      </c>
      <c r="F40" s="33">
        <f ca="1">1.5*OFFSET(F$112,MATCH($N$1,$C$112:$C$113,0)-1,0)</f>
        <v>1.5</v>
      </c>
      <c r="G40" s="33">
        <f ca="1">0.9*OFFSET(G$112,MATCH($N$1,$C$112:$C$113,0)-1,0)</f>
        <v>0.9</v>
      </c>
      <c r="H40" s="33">
        <f ca="1">1.3*OFFSET(H$112,MATCH($N$1,$C$112:$C$113,0)-1,0)</f>
        <v>1.3</v>
      </c>
      <c r="I40" s="33">
        <f ca="1">0.1*OFFSET(I$112,MATCH($N$1,$C$112:$C$113,0)-1,0)</f>
        <v>0.1</v>
      </c>
      <c r="J40" s="33">
        <f ca="1">1.5*OFFSET(J$112,MATCH($N$1,$C$112:$C$113,0)-1,0)</f>
        <v>1.5</v>
      </c>
      <c r="K40" s="33">
        <f ca="1">1.8*OFFSET(K$112,MATCH($N$1,$C$112:$C$113,0)-1,0)</f>
        <v>1.8</v>
      </c>
      <c r="L40" s="33">
        <f ca="1">0.3*OFFSET(L$112,MATCH($N$1,$C$112:$C$113,0)-1,0)</f>
        <v>0.3</v>
      </c>
      <c r="M40" s="33">
        <f ca="1">1*OFFSET(M$112,MATCH($N$1,$C$112:$C$113,0)-1,0)</f>
        <v>1</v>
      </c>
      <c r="N40" s="33"/>
      <c r="O40" s="29" t="str">
        <f t="shared" si="0"/>
        <v/>
      </c>
      <c r="P40" s="29" t="str">
        <f t="shared" si="1"/>
        <v/>
      </c>
    </row>
    <row r="41" spans="1:16" ht="18" customHeight="1" thickBot="1" x14ac:dyDescent="0.25">
      <c r="A41" s="200"/>
      <c r="B41" s="44" t="s">
        <v>83</v>
      </c>
      <c r="C41" s="45"/>
      <c r="D41" s="45">
        <f ca="1">63.6*OFFSET(D$112,MATCH($N$1,$C$112:$C$113,0)-1,0)</f>
        <v>63.6</v>
      </c>
      <c r="E41" s="45">
        <f ca="1">36.8*OFFSET(E$112,MATCH($N$1,$C$112:$C$113,0)-1,0)</f>
        <v>36.799999999999997</v>
      </c>
      <c r="F41" s="45">
        <f ca="1">34.7*OFFSET(F$112,MATCH($N$1,$C$112:$C$113,0)-1,0)</f>
        <v>34.700000000000003</v>
      </c>
      <c r="G41" s="45">
        <f ca="1">19.1*OFFSET(G$112,MATCH($N$1,$C$112:$C$113,0)-1,0)</f>
        <v>19.100000000000001</v>
      </c>
      <c r="H41" s="45">
        <f ca="1">11.9*OFFSET(H$112,MATCH($N$1,$C$112:$C$113,0)-1,0)</f>
        <v>11.9</v>
      </c>
      <c r="I41" s="45">
        <f ca="1">46*OFFSET(I$112,MATCH($N$1,$C$112:$C$113,0)-1,0)</f>
        <v>46</v>
      </c>
      <c r="J41" s="45">
        <f ca="1">81.6*OFFSET(J$112,MATCH($N$1,$C$112:$C$113,0)-1,0)</f>
        <v>81.599999999999994</v>
      </c>
      <c r="K41" s="45">
        <f ca="1">35.3*OFFSET(K$112,MATCH($N$1,$C$112:$C$113,0)-1,0)</f>
        <v>35.299999999999997</v>
      </c>
      <c r="L41" s="45">
        <f ca="1">36*OFFSET(L$112,MATCH($N$1,$C$112:$C$113,0)-1,0)</f>
        <v>36</v>
      </c>
      <c r="M41" s="45">
        <f ca="1">52.2*OFFSET(M$112,MATCH($N$1,$C$112:$C$113,0)-1,0)</f>
        <v>52.2</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21</v>
      </c>
      <c r="F46" s="94" t="s">
        <v>21</v>
      </c>
      <c r="G46" s="94" t="s">
        <v>21</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NSWOS demersal under 24m under 300kW</v>
      </c>
      <c r="C48" s="96"/>
      <c r="D48" s="96"/>
      <c r="E48" s="96"/>
      <c r="F48" s="96"/>
      <c r="G48" s="96"/>
      <c r="K48" s="96" t="str">
        <f>$B24&amp;CHAR(10)&amp;$A$1</f>
        <v>Operating profit per kW day at sea (£)
NSWOS demersal under 24m under 300kW</v>
      </c>
    </row>
    <row r="49" spans="1:11" s="82" customFormat="1" x14ac:dyDescent="0.2">
      <c r="A49" s="96" t="str">
        <f>$B22&amp;CHAR(10)&amp;$A$1</f>
        <v>Fishing income per kW day at sea (£)
NSWOS demersal under 24m under 300kW</v>
      </c>
    </row>
    <row r="50" spans="1:11" s="82" customFormat="1" x14ac:dyDescent="0.2">
      <c r="A50" s="96" t="str">
        <f>$B20&amp;CHAR(10)&amp;$A$1</f>
        <v>Average price per tonne landed (£)
NSWOS demersal under 24m under 300kW</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NSWOS demersal under 24m under 300kW</v>
      </c>
      <c r="F62" s="96" t="str">
        <f>$B20&amp;CHAR(10)&amp;$A$1</f>
        <v>Average price per tonne landed (£)
NSWOS demersal under 24m under 300kW</v>
      </c>
      <c r="K62" s="96" t="str">
        <f>"Average annual operating profit per vessel (£'000)"&amp;CHAR(10)&amp;$A$1</f>
        <v>Average annual operating profit per vessel (£'000)
NSWOS demersal under 24m under 300kW</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NSWOS demersal under 24m under 300kW</v>
      </c>
      <c r="F76" s="96" t="str">
        <f>"Top 5 landed species by value in "&amp;A77&amp;CHAR(10)&amp;A1</f>
        <v>Top 5 landed species by value in 2020
NSWOS demersal under 24m under 300kW</v>
      </c>
    </row>
    <row r="77" spans="1:11" s="96" customFormat="1" x14ac:dyDescent="0.2">
      <c r="A77" s="96">
        <v>2020</v>
      </c>
      <c r="B77" s="96" t="s">
        <v>368</v>
      </c>
      <c r="C77" s="97">
        <v>0.21391125653109333</v>
      </c>
      <c r="D77" s="98">
        <v>1692097</v>
      </c>
      <c r="G77" s="96" t="s">
        <v>369</v>
      </c>
      <c r="H77" s="97">
        <v>0.22051129792584342</v>
      </c>
      <c r="I77" s="98">
        <v>12153634</v>
      </c>
      <c r="K77" s="96" t="s">
        <v>87</v>
      </c>
    </row>
    <row r="78" spans="1:11" s="96" customFormat="1" x14ac:dyDescent="0.2">
      <c r="B78" s="96" t="s">
        <v>370</v>
      </c>
      <c r="C78" s="97">
        <v>0.17994218251511113</v>
      </c>
      <c r="D78" s="98">
        <v>12153634</v>
      </c>
      <c r="G78" s="96" t="s">
        <v>371</v>
      </c>
      <c r="H78" s="97">
        <v>0.18209225903581183</v>
      </c>
      <c r="I78" s="98">
        <v>553960</v>
      </c>
    </row>
    <row r="79" spans="1:11" s="96" customFormat="1" x14ac:dyDescent="0.2">
      <c r="B79" s="96" t="s">
        <v>372</v>
      </c>
      <c r="C79" s="97">
        <v>0.11277359307813407</v>
      </c>
      <c r="D79" s="98">
        <v>3050596</v>
      </c>
      <c r="G79" s="96" t="s">
        <v>373</v>
      </c>
      <c r="H79" s="97">
        <v>0.13970170260795708</v>
      </c>
      <c r="I79" s="98">
        <v>3050596</v>
      </c>
    </row>
    <row r="80" spans="1:11" s="96" customFormat="1" x14ac:dyDescent="0.2">
      <c r="B80" s="96" t="s">
        <v>374</v>
      </c>
      <c r="C80" s="97">
        <v>8.1061751205494401E-2</v>
      </c>
      <c r="D80" s="98">
        <v>553960</v>
      </c>
      <c r="G80" s="96" t="s">
        <v>375</v>
      </c>
      <c r="H80" s="97">
        <v>0.11847919609627468</v>
      </c>
      <c r="I80" s="98">
        <v>1692097</v>
      </c>
    </row>
    <row r="81" spans="1:19" s="96" customFormat="1" x14ac:dyDescent="0.2">
      <c r="B81" s="96" t="s">
        <v>376</v>
      </c>
      <c r="C81" s="97">
        <v>7.1127917012399844E-2</v>
      </c>
      <c r="D81" s="98">
        <v>11115023</v>
      </c>
      <c r="G81" s="96" t="s">
        <v>377</v>
      </c>
      <c r="H81" s="97">
        <v>7.1384950056998589E-2</v>
      </c>
      <c r="I81" s="98">
        <v>3689192</v>
      </c>
    </row>
    <row r="82" spans="1:19" s="96" customFormat="1" x14ac:dyDescent="0.2">
      <c r="B82" s="96" t="s">
        <v>378</v>
      </c>
      <c r="C82" s="97">
        <v>0.34118329965776717</v>
      </c>
      <c r="D82" s="98">
        <v>5920853</v>
      </c>
      <c r="G82" s="96" t="s">
        <v>263</v>
      </c>
      <c r="H82" s="97">
        <v>0.26783059427711431</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143</v>
      </c>
      <c r="D92" s="102">
        <v>7.8296798796444064E-2</v>
      </c>
      <c r="E92" s="102">
        <v>7.1301246393641507E-2</v>
      </c>
      <c r="F92" s="102">
        <v>0.14885821576618885</v>
      </c>
      <c r="G92" s="102">
        <v>0.17859290264909811</v>
      </c>
      <c r="H92" s="102">
        <v>0.29369838777206653</v>
      </c>
      <c r="I92" s="102">
        <v>0.24433622837859051</v>
      </c>
      <c r="J92" s="102">
        <v>0.18801928809843649</v>
      </c>
      <c r="K92" s="102">
        <v>0.11662118107356652</v>
      </c>
      <c r="L92" s="102">
        <v>0.22051129792584342</v>
      </c>
      <c r="M92" s="102">
        <v>0.30545862689541992</v>
      </c>
      <c r="O92" s="96">
        <v>12153634</v>
      </c>
    </row>
    <row r="93" spans="1:19" s="96" customFormat="1" hidden="1" x14ac:dyDescent="0.2">
      <c r="B93" s="96">
        <v>2</v>
      </c>
      <c r="C93" s="96" t="s">
        <v>145</v>
      </c>
      <c r="D93" s="102"/>
      <c r="E93" s="102"/>
      <c r="F93" s="102">
        <v>0.10670897823153228</v>
      </c>
      <c r="G93" s="102">
        <v>8.3155511487980824E-2</v>
      </c>
      <c r="H93" s="102">
        <v>0.15484957692255077</v>
      </c>
      <c r="I93" s="102">
        <v>0.26520750286735245</v>
      </c>
      <c r="J93" s="102">
        <v>0.2095454859916952</v>
      </c>
      <c r="K93" s="102">
        <v>0.24852680380419778</v>
      </c>
      <c r="L93" s="102">
        <v>0.18209225903581183</v>
      </c>
      <c r="M93" s="102">
        <v>0.1222685159990223</v>
      </c>
      <c r="O93" s="96">
        <v>553960</v>
      </c>
    </row>
    <row r="94" spans="1:19" s="96" customFormat="1" hidden="1" x14ac:dyDescent="0.2">
      <c r="B94" s="96">
        <v>3</v>
      </c>
      <c r="C94" s="96" t="s">
        <v>98</v>
      </c>
      <c r="D94" s="102"/>
      <c r="E94" s="102"/>
      <c r="F94" s="102"/>
      <c r="G94" s="102">
        <v>9.6503849964573757E-2</v>
      </c>
      <c r="H94" s="102">
        <v>9.8814309625166907E-2</v>
      </c>
      <c r="I94" s="102">
        <v>0.11087422945020414</v>
      </c>
      <c r="J94" s="102">
        <v>0.19057152569603539</v>
      </c>
      <c r="K94" s="102">
        <v>0.14241570601946191</v>
      </c>
      <c r="L94" s="102">
        <v>0.13970170260795708</v>
      </c>
      <c r="M94" s="102">
        <v>0.1439351124110663</v>
      </c>
      <c r="O94" s="96">
        <v>3050596</v>
      </c>
    </row>
    <row r="95" spans="1:19" s="96" customFormat="1" hidden="1" x14ac:dyDescent="0.2">
      <c r="B95" s="96">
        <v>4</v>
      </c>
      <c r="C95" s="96" t="s">
        <v>20</v>
      </c>
      <c r="D95" s="102">
        <v>0.26421602171389363</v>
      </c>
      <c r="E95" s="102">
        <v>0.30135345261119478</v>
      </c>
      <c r="F95" s="102">
        <v>0.11347803515808288</v>
      </c>
      <c r="G95" s="102">
        <v>0.14809808879881728</v>
      </c>
      <c r="H95" s="102"/>
      <c r="I95" s="102"/>
      <c r="J95" s="102">
        <v>7.5465663962938495E-2</v>
      </c>
      <c r="K95" s="102"/>
      <c r="L95" s="102">
        <v>0.11847919609627468</v>
      </c>
      <c r="M95" s="102">
        <v>7.010214655135262E-2</v>
      </c>
      <c r="O95" s="96">
        <v>1692097</v>
      </c>
    </row>
    <row r="96" spans="1:19" s="96" customFormat="1" hidden="1" x14ac:dyDescent="0.2">
      <c r="B96" s="96">
        <v>5</v>
      </c>
      <c r="C96" s="96" t="s">
        <v>175</v>
      </c>
      <c r="D96" s="102">
        <v>8.4303618569132183E-2</v>
      </c>
      <c r="E96" s="102"/>
      <c r="F96" s="102">
        <v>0.11173925024695418</v>
      </c>
      <c r="G96" s="102"/>
      <c r="H96" s="102">
        <v>0.10467888193926944</v>
      </c>
      <c r="I96" s="102">
        <v>6.3765185832604265E-2</v>
      </c>
      <c r="J96" s="102"/>
      <c r="K96" s="102"/>
      <c r="L96" s="102">
        <v>7.1384950056998589E-2</v>
      </c>
      <c r="M96" s="102"/>
      <c r="O96" s="96">
        <v>3689192</v>
      </c>
    </row>
    <row r="97" spans="1:15" s="96" customFormat="1" hidden="1" x14ac:dyDescent="0.2">
      <c r="B97" s="96">
        <v>6</v>
      </c>
      <c r="C97" s="96" t="s">
        <v>102</v>
      </c>
      <c r="D97" s="102">
        <v>0.14244872158976749</v>
      </c>
      <c r="E97" s="102">
        <v>0.11290038431559993</v>
      </c>
      <c r="F97" s="102">
        <v>9.3826731895711266E-2</v>
      </c>
      <c r="G97" s="102">
        <v>0.19297668254240927</v>
      </c>
      <c r="H97" s="102">
        <v>0.10651234653732483</v>
      </c>
      <c r="I97" s="102">
        <v>9.9901284309703325E-2</v>
      </c>
      <c r="J97" s="102">
        <v>5.7283353349581914E-2</v>
      </c>
      <c r="K97" s="102">
        <v>0.13875379794776774</v>
      </c>
      <c r="L97" s="102"/>
      <c r="M97" s="102">
        <v>6.808238382113635E-2</v>
      </c>
      <c r="O97" s="96">
        <v>11115023</v>
      </c>
    </row>
    <row r="98" spans="1:15" s="96" customFormat="1" hidden="1" x14ac:dyDescent="0.2">
      <c r="B98" s="96">
        <v>7</v>
      </c>
      <c r="C98" s="96" t="s">
        <v>145</v>
      </c>
      <c r="D98" s="102"/>
      <c r="E98" s="102"/>
      <c r="F98" s="102"/>
      <c r="G98" s="102"/>
      <c r="H98" s="102"/>
      <c r="I98" s="102"/>
      <c r="J98" s="102"/>
      <c r="K98" s="102">
        <v>0.10848462319826255</v>
      </c>
      <c r="L98" s="102"/>
      <c r="M98" s="102"/>
      <c r="O98" s="96">
        <v>2480382</v>
      </c>
    </row>
    <row r="99" spans="1:15" s="96" customFormat="1" hidden="1" x14ac:dyDescent="0.2">
      <c r="B99" s="96">
        <v>8</v>
      </c>
      <c r="C99" s="96" t="s">
        <v>128</v>
      </c>
      <c r="D99" s="102">
        <v>0.10487819437947432</v>
      </c>
      <c r="E99" s="102">
        <v>8.6329339448131079E-2</v>
      </c>
      <c r="F99" s="102"/>
      <c r="G99" s="102"/>
      <c r="H99" s="102"/>
      <c r="I99" s="102"/>
      <c r="J99" s="102"/>
      <c r="K99" s="102"/>
      <c r="L99" s="102"/>
      <c r="M99" s="102"/>
      <c r="O99" s="96">
        <v>7434864</v>
      </c>
    </row>
    <row r="100" spans="1:15" s="96" customFormat="1" hidden="1" x14ac:dyDescent="0.2">
      <c r="B100" s="96">
        <v>9</v>
      </c>
      <c r="C100" s="96" t="s">
        <v>126</v>
      </c>
      <c r="D100" s="102"/>
      <c r="E100" s="102">
        <v>5.3575441676922922E-2</v>
      </c>
      <c r="F100" s="102"/>
      <c r="G100" s="102"/>
      <c r="H100" s="102"/>
      <c r="I100" s="102"/>
      <c r="J100" s="102"/>
      <c r="K100" s="102"/>
      <c r="L100" s="102"/>
      <c r="M100" s="102"/>
      <c r="O100" s="96">
        <v>8497745</v>
      </c>
    </row>
    <row r="101" spans="1:15" s="96" customFormat="1" hidden="1" x14ac:dyDescent="0.2">
      <c r="B101" s="96">
        <v>10</v>
      </c>
      <c r="C101" s="96" t="s">
        <v>107</v>
      </c>
      <c r="D101" s="102">
        <v>0.3258566449512883</v>
      </c>
      <c r="E101" s="102">
        <v>0.37454013555450977</v>
      </c>
      <c r="F101" s="102">
        <v>0.42538878870153057</v>
      </c>
      <c r="G101" s="102">
        <v>0.30067296455712078</v>
      </c>
      <c r="H101" s="102">
        <v>0.24144649720362149</v>
      </c>
      <c r="I101" s="102">
        <v>0.21591556916154531</v>
      </c>
      <c r="J101" s="102">
        <v>0.27911468290131253</v>
      </c>
      <c r="K101" s="102">
        <v>0.24519788795674352</v>
      </c>
      <c r="L101" s="102">
        <v>0.26783059427711436</v>
      </c>
      <c r="M101" s="102">
        <v>0.29015321432200253</v>
      </c>
      <c r="O101" s="96">
        <v>5920853</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11</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5</v>
      </c>
      <c r="D120" s="56">
        <v>8</v>
      </c>
      <c r="E120" s="56">
        <v>5</v>
      </c>
      <c r="F120" s="57">
        <v>12</v>
      </c>
    </row>
    <row r="121" spans="1:15" ht="18" customHeight="1" x14ac:dyDescent="0.2">
      <c r="A121" s="194" t="s">
        <v>27</v>
      </c>
      <c r="B121" s="35" t="s">
        <v>62</v>
      </c>
      <c r="C121" s="58">
        <v>16.854000091552734</v>
      </c>
      <c r="D121" s="58">
        <v>15.211249828338623</v>
      </c>
      <c r="E121" s="58">
        <v>12.831999778747559</v>
      </c>
      <c r="F121" s="59">
        <v>15.739166259765625</v>
      </c>
    </row>
    <row r="122" spans="1:15" ht="18" customHeight="1" x14ac:dyDescent="0.2">
      <c r="A122" s="195"/>
      <c r="B122" s="37" t="s">
        <v>55</v>
      </c>
      <c r="C122" s="60">
        <v>262.79998779296875</v>
      </c>
      <c r="D122" s="60">
        <v>200.25</v>
      </c>
      <c r="E122" s="60">
        <v>157.60000610351563</v>
      </c>
      <c r="F122" s="61">
        <v>235.83332824707031</v>
      </c>
    </row>
    <row r="123" spans="1:15" ht="18" customHeight="1" x14ac:dyDescent="0.2">
      <c r="A123" s="195"/>
      <c r="B123" s="37" t="s">
        <v>56</v>
      </c>
      <c r="C123" s="60">
        <v>71</v>
      </c>
      <c r="D123" s="60">
        <v>55.125</v>
      </c>
      <c r="E123" s="60">
        <v>33.400001525878906</v>
      </c>
      <c r="F123" s="61">
        <v>63.166667938232422</v>
      </c>
    </row>
    <row r="124" spans="1:15" ht="18" customHeight="1" x14ac:dyDescent="0.2">
      <c r="A124" s="195"/>
      <c r="B124" s="37" t="s">
        <v>57</v>
      </c>
      <c r="C124" s="60">
        <v>220.19154357910156</v>
      </c>
      <c r="D124" s="60">
        <v>175.1171875</v>
      </c>
      <c r="E124" s="60">
        <v>134.7655029296875</v>
      </c>
      <c r="F124" s="61">
        <v>198.29360961914063</v>
      </c>
    </row>
    <row r="125" spans="1:15" ht="18" customHeight="1" x14ac:dyDescent="0.2">
      <c r="A125" s="195"/>
      <c r="B125" s="37" t="s">
        <v>58</v>
      </c>
      <c r="C125" s="33">
        <v>251.61817932128906</v>
      </c>
      <c r="D125" s="33">
        <v>87.858100891113281</v>
      </c>
      <c r="E125" s="33">
        <v>26.356760025024414</v>
      </c>
      <c r="F125" s="62">
        <v>132.85734558105469</v>
      </c>
    </row>
    <row r="126" spans="1:15" ht="18" customHeight="1" x14ac:dyDescent="0.2">
      <c r="A126" s="195"/>
      <c r="B126" s="37" t="s">
        <v>63</v>
      </c>
      <c r="C126" s="33">
        <f ca="1">729.213*OFFSET($L$112,MATCH($N$1,$C$112:$C$113,0)-1,0)</f>
        <v>729.21299999999997</v>
      </c>
      <c r="D126" s="33">
        <f ca="1">276.76675*OFFSET($L$112,MATCH($N$1,$C$112:$C$113,0)-1,0)</f>
        <v>276.76675</v>
      </c>
      <c r="E126" s="33">
        <f ca="1">97.86584375*OFFSET($L$112,MATCH($N$1,$C$112:$C$113,0)-1,0)</f>
        <v>97.865843749999996</v>
      </c>
      <c r="F126" s="62">
        <f ca="1">277.439875*OFFSET($L$112,MATCH($N$1,$C$112:$C$113,0)-1,0)</f>
        <v>277.43987499999997</v>
      </c>
    </row>
    <row r="127" spans="1:15" ht="18" customHeight="1" x14ac:dyDescent="0.2">
      <c r="A127" s="195"/>
      <c r="B127" s="37" t="s">
        <v>60</v>
      </c>
      <c r="C127" s="60">
        <v>169.39999389648438</v>
      </c>
      <c r="D127" s="60">
        <v>122.25</v>
      </c>
      <c r="E127" s="60">
        <v>145.60000610351563</v>
      </c>
      <c r="F127" s="61">
        <v>134.16667175292969</v>
      </c>
    </row>
    <row r="128" spans="1:15" ht="18" customHeight="1" x14ac:dyDescent="0.2">
      <c r="A128" s="195"/>
      <c r="B128" s="37" t="s">
        <v>64</v>
      </c>
      <c r="C128" s="60">
        <v>33.799999237060547</v>
      </c>
      <c r="D128" s="60">
        <v>40</v>
      </c>
      <c r="E128" s="60">
        <v>35.400001525878906</v>
      </c>
      <c r="F128" s="61">
        <v>31.666666030883789</v>
      </c>
    </row>
    <row r="129" spans="1:15" ht="18" customHeight="1" x14ac:dyDescent="0.2">
      <c r="A129" s="195"/>
      <c r="B129" s="37" t="s">
        <v>65</v>
      </c>
      <c r="C129" s="63">
        <v>1.4853494167327881</v>
      </c>
      <c r="D129" s="63">
        <v>0.71867567191094706</v>
      </c>
      <c r="E129" s="63">
        <v>0.18102169036865234</v>
      </c>
      <c r="F129" s="64">
        <v>0.99024105072021484</v>
      </c>
    </row>
    <row r="130" spans="1:15" ht="18" customHeight="1" x14ac:dyDescent="0.2">
      <c r="A130" s="196"/>
      <c r="B130" s="39" t="s">
        <v>28</v>
      </c>
      <c r="C130" s="40">
        <f ca="1">2898.0934603651*OFFSET($L$112,MATCH($N$1,$C$112:$C$113,0)-1,0)</f>
        <v>2898.0934603650999</v>
      </c>
      <c r="D130" s="40">
        <f ca="1">3150.1562996793*OFFSET($L$112,MATCH($N$1,$C$112:$C$113,0)-1,0)</f>
        <v>3150.1562996793</v>
      </c>
      <c r="E130" s="40">
        <f ca="1">3713.12117487435*OFFSET($L$112,MATCH($N$1,$C$112:$C$113,0)-1,0)</f>
        <v>3713.1211748743499</v>
      </c>
      <c r="F130" s="65">
        <f ca="1">2088*OFFSET($L$112,MATCH($N$1,$C$112:$C$113,0)-1,0)</f>
        <v>2088</v>
      </c>
    </row>
    <row r="131" spans="1:15" ht="18" customHeight="1" x14ac:dyDescent="0.2">
      <c r="A131" s="205" t="s">
        <v>29</v>
      </c>
      <c r="B131" s="35" t="s">
        <v>66</v>
      </c>
      <c r="C131" s="66">
        <v>5.5317719588728194</v>
      </c>
      <c r="D131" s="66">
        <v>3.4807521808601352</v>
      </c>
      <c r="E131" s="66">
        <v>0.97813256234782198</v>
      </c>
      <c r="F131" s="67">
        <v>3.8839985959231096</v>
      </c>
    </row>
    <row r="132" spans="1:15" ht="18" customHeight="1" x14ac:dyDescent="0.2">
      <c r="A132" s="206"/>
      <c r="B132" s="37" t="s">
        <v>67</v>
      </c>
      <c r="C132" s="63">
        <f ca="1">16.0315921382403*OFFSET($L$112,MATCH($N$1,$C$112:$C$113,0)-1,0)</f>
        <v>16.031592138240299</v>
      </c>
      <c r="D132" s="63">
        <f ca="1">10.964913410159*OFFSET($L$112,MATCH($N$1,$C$112:$C$113,0)-1,0)</f>
        <v>10.964913410158999</v>
      </c>
      <c r="E132" s="63">
        <f ca="1">3.63192472908781*OFFSET($L$112,MATCH($N$1,$C$112:$C$113,0)-1,0)</f>
        <v>3.6319247290878098</v>
      </c>
      <c r="F132" s="64">
        <f ca="1">8.11077536014497*OFFSET($L$112,MATCH($N$1,$C$112:$C$113,0)-1,0)</f>
        <v>8.1107753601449701</v>
      </c>
    </row>
    <row r="133" spans="1:15" ht="18" customHeight="1" x14ac:dyDescent="0.2">
      <c r="A133" s="206"/>
      <c r="B133" s="37" t="s">
        <v>11</v>
      </c>
      <c r="C133" s="63">
        <f ca="1">12.7902994877545*OFFSET($L$112,MATCH($N$1,$C$112:$C$113,0)-1,0)</f>
        <v>12.790299487754501</v>
      </c>
      <c r="D133" s="63">
        <f ca="1">9.39149094483705*OFFSET($L$112,MATCH($N$1,$C$112:$C$113,0)-1,0)</f>
        <v>9.3914909448370505</v>
      </c>
      <c r="E133" s="63">
        <f ca="1">4.09934517472445*OFFSET($L$112,MATCH($N$1,$C$112:$C$113,0)-1,0)</f>
        <v>4.0993451747244496</v>
      </c>
      <c r="F133" s="64">
        <f ca="1">6.2458036997673*OFFSET($L$112,MATCH($N$1,$C$112:$C$113,0)-1,0)</f>
        <v>6.2458036997672997</v>
      </c>
    </row>
    <row r="134" spans="1:15" ht="18" customHeight="1" x14ac:dyDescent="0.2">
      <c r="A134" s="207"/>
      <c r="B134" s="39" t="s">
        <v>12</v>
      </c>
      <c r="C134" s="68">
        <f ca="1">3.24129265048586*OFFSET($L$112,MATCH($N$1,$C$112:$C$113,0)-1,0)</f>
        <v>3.2412926504858599</v>
      </c>
      <c r="D134" s="68">
        <f ca="1">1.57342246532197*OFFSET($L$112,MATCH($N$1,$C$112:$C$113,0)-1,0)</f>
        <v>1.5734224653219699</v>
      </c>
      <c r="E134" s="68">
        <f ca="1">-0.467420445636644*OFFSET($L$112,MATCH($N$1,$C$112:$C$113,0)-1,0)</f>
        <v>-0.46742044563664398</v>
      </c>
      <c r="F134" s="69">
        <f ca="1">1.86497166037766*OFFSET($L$112,MATCH($N$1,$C$112:$C$113,0)-1,0)</f>
        <v>1.86497166037766</v>
      </c>
    </row>
    <row r="135" spans="1:15" ht="18" customHeight="1" x14ac:dyDescent="0.2">
      <c r="A135" s="208" t="s">
        <v>49</v>
      </c>
      <c r="B135" s="37" t="s">
        <v>109</v>
      </c>
      <c r="C135" s="70">
        <f ca="1">67.611796875*OFFSET($L$112,MATCH($N$1,$C$112:$C$113,0)-1,0)</f>
        <v>67.611796874999996</v>
      </c>
      <c r="D135" s="70">
        <f ca="1">41.9036953125*OFFSET($L$112,MATCH($N$1,$C$112:$C$113,0)-1,0)</f>
        <v>41.903695312499998</v>
      </c>
      <c r="E135" s="70">
        <f ca="1">41.45578515625*OFFSET($L$112,MATCH($N$1,$C$112:$C$113,0)-1,0)</f>
        <v>41.455785156250002</v>
      </c>
      <c r="F135" s="71">
        <f ca="1">36.45309765625*OFFSET($L$112,MATCH($N$1,$C$112:$C$113,0)-1,0)</f>
        <v>36.453097656250002</v>
      </c>
    </row>
    <row r="136" spans="1:15" ht="18" customHeight="1" x14ac:dyDescent="0.2">
      <c r="A136" s="209"/>
      <c r="B136" s="37" t="s">
        <v>110</v>
      </c>
      <c r="C136" s="31">
        <v>130039.99216521904</v>
      </c>
      <c r="D136" s="31">
        <v>80556.250579833999</v>
      </c>
      <c r="E136" s="31">
        <v>78850.001449903473</v>
      </c>
      <c r="F136" s="72">
        <v>100154.16666666667</v>
      </c>
    </row>
    <row r="137" spans="1:15" ht="18" customHeight="1" x14ac:dyDescent="0.2">
      <c r="A137" s="209"/>
      <c r="B137" s="37" t="s">
        <v>111</v>
      </c>
      <c r="C137" s="31">
        <v>767.6505126953125</v>
      </c>
      <c r="D137" s="31">
        <v>658.94683500886697</v>
      </c>
      <c r="E137" s="31">
        <v>541.55218505859375</v>
      </c>
      <c r="F137" s="72">
        <v>746.49066162109375</v>
      </c>
    </row>
    <row r="138" spans="1:15" ht="18" customHeight="1" x14ac:dyDescent="0.2">
      <c r="A138" s="209"/>
      <c r="B138" s="37" t="s">
        <v>112</v>
      </c>
      <c r="C138" s="31">
        <f ca="1">399.12514351279*OFFSET($L$112,MATCH($N$1,$C$112:$C$113,0)-1,0)</f>
        <v>399.12514351278998</v>
      </c>
      <c r="D138" s="31">
        <f ca="1">342.770513803681*OFFSET($L$112,MATCH($N$1,$C$112:$C$113,0)-1,0)</f>
        <v>342.77051380368101</v>
      </c>
      <c r="E138" s="31">
        <f ca="1">284.723787214519*OFFSET($L$112,MATCH($N$1,$C$112:$C$113,0)-1,0)</f>
        <v>284.72378721451901</v>
      </c>
      <c r="F138" s="72">
        <f ca="1">271.700096454498*OFFSET($L$112,MATCH($N$1,$C$112:$C$113,0)-1,0)</f>
        <v>271.70009645449801</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268.707917120198*OFFSET($L$112,MATCH($N$1,$C$112:$C$113,0)-1,0)</f>
        <v>268.70791712019798</v>
      </c>
      <c r="D139" s="31">
        <f ca="1">476.947428722973*OFFSET($L$112,MATCH($N$1,$C$112:$C$113,0)-1,0)</f>
        <v>476.94742872297297</v>
      </c>
      <c r="E139" s="31">
        <f ca="1">1572.87106294134*OFFSET($L$112,MATCH($N$1,$C$112:$C$113,0)-1,0)</f>
        <v>1572.8710629413399</v>
      </c>
      <c r="F139" s="72">
        <f ca="1">274.377735734682*OFFSET($L$112,MATCH($N$1,$C$112:$C$113,0)-1,0)</f>
        <v>274.37773573468201</v>
      </c>
      <c r="I139" s="48"/>
      <c r="K139" s="73" t="s">
        <v>114</v>
      </c>
      <c r="L139" s="74">
        <f t="shared" ref="L139:M141" ca="1" si="2">C140</f>
        <v>806.14425000000006</v>
      </c>
      <c r="M139" s="74">
        <f t="shared" ca="1" si="2"/>
        <v>305.96537499999999</v>
      </c>
      <c r="N139" s="74">
        <f ca="1">E140</f>
        <v>108.19060156250001</v>
      </c>
      <c r="O139" s="74"/>
    </row>
    <row r="140" spans="1:15" ht="18" customHeight="1" x14ac:dyDescent="0.2">
      <c r="A140" s="187" t="s">
        <v>50</v>
      </c>
      <c r="B140" s="35" t="s">
        <v>115</v>
      </c>
      <c r="C140" s="75">
        <f ca="1">806.14425*OFFSET($L$112,MATCH($N$1,$C$112:$C$113,0)-1,0)</f>
        <v>806.14425000000006</v>
      </c>
      <c r="D140" s="75">
        <f ca="1">305.965375*OFFSET($L$112,MATCH($N$1,$C$112:$C$113,0)-1,0)</f>
        <v>305.96537499999999</v>
      </c>
      <c r="E140" s="75">
        <f ca="1">108.1906015625*OFFSET($L$112,MATCH($N$1,$C$112:$C$113,0)-1,0)</f>
        <v>108.19060156250001</v>
      </c>
      <c r="F140" s="76">
        <f ca="1">335.446625*OFFSET($L$112,MATCH($N$1,$C$112:$C$113,0)-1,0)</f>
        <v>335.44662499999998</v>
      </c>
      <c r="I140" s="48"/>
      <c r="K140" s="73" t="s">
        <v>116</v>
      </c>
      <c r="L140" s="74">
        <f t="shared" ca="1" si="2"/>
        <v>658.71081249999997</v>
      </c>
      <c r="M140" s="74">
        <f t="shared" ca="1" si="2"/>
        <v>266.25042187499997</v>
      </c>
      <c r="N140" s="74">
        <f ca="1">E141</f>
        <v>120.7857109375</v>
      </c>
      <c r="O140" s="74"/>
    </row>
    <row r="141" spans="1:15" ht="18" customHeight="1" x14ac:dyDescent="0.2">
      <c r="A141" s="188"/>
      <c r="B141" s="37" t="s">
        <v>117</v>
      </c>
      <c r="C141" s="31">
        <f ca="1">658.7108125*OFFSET($L$112,MATCH($N$1,$C$112:$C$113,0)-1,0)</f>
        <v>658.71081249999997</v>
      </c>
      <c r="D141" s="31">
        <f ca="1">266.250421875*OFFSET($L$112,MATCH($N$1,$C$112:$C$113,0)-1,0)</f>
        <v>266.25042187499997</v>
      </c>
      <c r="E141" s="31">
        <f ca="1">120.7857109375*OFFSET($L$112,MATCH($N$1,$C$112:$C$113,0)-1,0)</f>
        <v>120.7857109375</v>
      </c>
      <c r="F141" s="72">
        <f ca="1">271.65278125*OFFSET($L$112,MATCH($N$1,$C$112:$C$113,0)-1,0)</f>
        <v>271.65278124999998</v>
      </c>
      <c r="I141" s="48"/>
      <c r="K141" s="73" t="s">
        <v>118</v>
      </c>
      <c r="L141" s="74">
        <f t="shared" ca="1" si="2"/>
        <v>147.4334375</v>
      </c>
      <c r="M141" s="74">
        <f t="shared" ca="1" si="2"/>
        <v>39.714953125000001</v>
      </c>
      <c r="N141" s="74">
        <f ca="1">E142</f>
        <v>-12.595109375</v>
      </c>
      <c r="O141" s="74"/>
    </row>
    <row r="142" spans="1:15" ht="18" customHeight="1" x14ac:dyDescent="0.2">
      <c r="A142" s="189"/>
      <c r="B142" s="39" t="s">
        <v>119</v>
      </c>
      <c r="C142" s="40">
        <f ca="1">147.4334375*OFFSET($L$112,MATCH($N$1,$C$112:$C$113,0)-1,0)</f>
        <v>147.4334375</v>
      </c>
      <c r="D142" s="40">
        <f ca="1">39.714953125*OFFSET($L$112,MATCH($N$1,$C$112:$C$113,0)-1,0)</f>
        <v>39.714953125000001</v>
      </c>
      <c r="E142" s="40">
        <f ca="1">-12.595109375*OFFSET($L$112,MATCH($N$1,$C$112:$C$113,0)-1,0)</f>
        <v>-12.595109375</v>
      </c>
      <c r="F142" s="65">
        <f ca="1">63.79383984375*OFFSET($L$112,MATCH($N$1,$C$112:$C$113,0)-1,0)</f>
        <v>63.79383984375</v>
      </c>
      <c r="I142" s="48"/>
      <c r="K142" s="73" t="s">
        <v>120</v>
      </c>
      <c r="L142" s="77">
        <f ca="1">IFERROR(L140/L$139,"")</f>
        <v>0.81711283371431342</v>
      </c>
      <c r="M142" s="77">
        <f t="shared" ref="M142:N143" ca="1" si="3">IFERROR(M140/M$139,"")</f>
        <v>0.8701978839108836</v>
      </c>
      <c r="N142" s="77">
        <f t="shared" ca="1" si="3"/>
        <v>1.116415928861658</v>
      </c>
      <c r="O142" s="77"/>
    </row>
    <row r="143" spans="1:15" ht="18" customHeight="1" x14ac:dyDescent="0.2">
      <c r="I143" s="48"/>
      <c r="K143" s="73" t="s">
        <v>121</v>
      </c>
      <c r="L143" s="77">
        <f ca="1">IFERROR(L141/L$139,"")</f>
        <v>0.18288716628568644</v>
      </c>
      <c r="M143" s="77">
        <f t="shared" ca="1" si="3"/>
        <v>0.12980211608911629</v>
      </c>
      <c r="N143" s="77">
        <f t="shared" ca="1" si="3"/>
        <v>-0.11641592886165814</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9</v>
      </c>
      <c r="B161" s="53"/>
      <c r="C161" s="78" t="s">
        <v>45</v>
      </c>
      <c r="D161" s="78" t="s">
        <v>122</v>
      </c>
      <c r="E161" s="78" t="s">
        <v>47</v>
      </c>
      <c r="F161" s="78" t="s">
        <v>123</v>
      </c>
      <c r="G161" s="79">
        <v>9</v>
      </c>
      <c r="H161" s="78"/>
      <c r="I161" s="78" t="s">
        <v>45</v>
      </c>
      <c r="J161" s="78" t="s">
        <v>122</v>
      </c>
      <c r="K161" s="78" t="s">
        <v>47</v>
      </c>
      <c r="L161" s="53" t="s">
        <v>123</v>
      </c>
      <c r="R161" s="21"/>
      <c r="S161" s="21"/>
    </row>
    <row r="162" spans="1:19" s="48" customFormat="1" x14ac:dyDescent="0.2">
      <c r="A162" s="49">
        <v>1</v>
      </c>
      <c r="B162" s="53" t="s">
        <v>20</v>
      </c>
      <c r="C162" s="53">
        <v>6.7796133251169843E-2</v>
      </c>
      <c r="D162" s="53">
        <v>0.30423697241954417</v>
      </c>
      <c r="E162" s="53">
        <v>0.27100796442956349</v>
      </c>
      <c r="F162" s="49">
        <v>1692097</v>
      </c>
      <c r="G162" s="49">
        <v>1</v>
      </c>
      <c r="H162" s="53" t="s">
        <v>145</v>
      </c>
      <c r="I162" s="53">
        <v>0</v>
      </c>
      <c r="J162" s="53">
        <v>0.33279370445862738</v>
      </c>
      <c r="K162" s="53">
        <v>0.19459219174868628</v>
      </c>
      <c r="L162" s="49">
        <v>553960</v>
      </c>
      <c r="R162" s="21"/>
      <c r="S162" s="21"/>
    </row>
    <row r="163" spans="1:19" s="48" customFormat="1" x14ac:dyDescent="0.2">
      <c r="A163" s="49">
        <v>2</v>
      </c>
      <c r="B163" s="53" t="s">
        <v>145</v>
      </c>
      <c r="C163" s="53">
        <v>0</v>
      </c>
      <c r="D163" s="53">
        <v>0.15121721337132063</v>
      </c>
      <c r="E163" s="53">
        <v>8.6283565571691548E-2</v>
      </c>
      <c r="F163" s="49">
        <v>553960</v>
      </c>
      <c r="G163" s="49">
        <v>2</v>
      </c>
      <c r="H163" s="53" t="s">
        <v>20</v>
      </c>
      <c r="I163" s="53">
        <v>3.0853320474831063E-2</v>
      </c>
      <c r="J163" s="53">
        <v>0.16417589461266663</v>
      </c>
      <c r="K163" s="53">
        <v>0.10905570220713336</v>
      </c>
      <c r="L163" s="49">
        <v>1692097</v>
      </c>
      <c r="N163" s="48" t="s">
        <v>124</v>
      </c>
      <c r="R163" s="21"/>
      <c r="S163" s="21"/>
    </row>
    <row r="164" spans="1:19" s="48" customFormat="1" x14ac:dyDescent="0.2">
      <c r="A164" s="49">
        <v>3</v>
      </c>
      <c r="B164" s="53" t="s">
        <v>143</v>
      </c>
      <c r="C164" s="53">
        <v>0.13549028985334283</v>
      </c>
      <c r="D164" s="53">
        <v>0.1316828693077888</v>
      </c>
      <c r="E164" s="53">
        <v>0.14637300100642542</v>
      </c>
      <c r="F164" s="49">
        <v>12153634</v>
      </c>
      <c r="G164" s="49">
        <v>3</v>
      </c>
      <c r="H164" s="53" t="s">
        <v>143</v>
      </c>
      <c r="I164" s="53">
        <v>0.12813802262132765</v>
      </c>
      <c r="J164" s="53">
        <v>0.15425689736528619</v>
      </c>
      <c r="K164" s="53">
        <v>0.14612147058754235</v>
      </c>
      <c r="L164" s="49">
        <v>12153634</v>
      </c>
      <c r="N164" s="48" t="s">
        <v>125</v>
      </c>
      <c r="R164" s="21"/>
      <c r="S164" s="21"/>
    </row>
    <row r="165" spans="1:19" s="48" customFormat="1" x14ac:dyDescent="0.2">
      <c r="A165" s="49">
        <v>4</v>
      </c>
      <c r="B165" s="53" t="s">
        <v>98</v>
      </c>
      <c r="C165" s="53">
        <v>7.094439546136963E-2</v>
      </c>
      <c r="D165" s="53">
        <v>0.12246982238315715</v>
      </c>
      <c r="E165" s="53">
        <v>0</v>
      </c>
      <c r="F165" s="49">
        <v>3050596</v>
      </c>
      <c r="G165" s="49">
        <v>4</v>
      </c>
      <c r="H165" s="53" t="s">
        <v>98</v>
      </c>
      <c r="I165" s="53">
        <v>7.3291132150471575E-2</v>
      </c>
      <c r="J165" s="53">
        <v>0.1331297911780196</v>
      </c>
      <c r="K165" s="53">
        <v>4.1369829045359373E-2</v>
      </c>
      <c r="L165" s="49">
        <v>3050596</v>
      </c>
      <c r="R165" s="21"/>
      <c r="S165" s="21"/>
    </row>
    <row r="166" spans="1:19" s="48" customFormat="1" x14ac:dyDescent="0.2">
      <c r="A166" s="49">
        <v>5</v>
      </c>
      <c r="B166" s="53" t="s">
        <v>126</v>
      </c>
      <c r="C166" s="53">
        <v>4.1235731031397264E-2</v>
      </c>
      <c r="D166" s="53">
        <v>7.014680782671863E-2</v>
      </c>
      <c r="E166" s="53">
        <v>7.5451617228824597E-2</v>
      </c>
      <c r="F166" s="49">
        <v>11115023</v>
      </c>
      <c r="G166" s="49">
        <v>5</v>
      </c>
      <c r="H166" s="53" t="s">
        <v>175</v>
      </c>
      <c r="I166" s="53">
        <v>4.3199743432226358E-2</v>
      </c>
      <c r="J166" s="53">
        <v>5.8276123920236275E-2</v>
      </c>
      <c r="K166" s="53">
        <v>0</v>
      </c>
      <c r="L166" s="49">
        <v>3689192</v>
      </c>
      <c r="R166" s="21"/>
      <c r="S166" s="21"/>
    </row>
    <row r="167" spans="1:19" s="48" customFormat="1" x14ac:dyDescent="0.2">
      <c r="A167" s="49">
        <v>6</v>
      </c>
      <c r="B167" s="53" t="s">
        <v>102</v>
      </c>
      <c r="C167" s="53">
        <v>0</v>
      </c>
      <c r="D167" s="53">
        <v>0</v>
      </c>
      <c r="E167" s="53">
        <v>0.2887197969329417</v>
      </c>
      <c r="F167" s="49">
        <v>2480382</v>
      </c>
      <c r="G167" s="49">
        <v>6</v>
      </c>
      <c r="H167" s="53" t="s">
        <v>102</v>
      </c>
      <c r="I167" s="53">
        <v>0</v>
      </c>
      <c r="J167" s="53">
        <v>0</v>
      </c>
      <c r="K167" s="53">
        <v>0.32541325060860499</v>
      </c>
      <c r="L167" s="49">
        <v>2480382</v>
      </c>
      <c r="R167" s="21"/>
      <c r="S167" s="21"/>
    </row>
    <row r="168" spans="1:19" s="48" customFormat="1" x14ac:dyDescent="0.2">
      <c r="A168" s="49">
        <v>7</v>
      </c>
      <c r="B168" s="53" t="s">
        <v>246</v>
      </c>
      <c r="C168" s="53">
        <v>4.7468747456041613E-2</v>
      </c>
      <c r="D168" s="53">
        <v>0</v>
      </c>
      <c r="E168" s="53">
        <v>0</v>
      </c>
      <c r="F168" s="49">
        <v>7434864</v>
      </c>
      <c r="G168" s="49">
        <v>7</v>
      </c>
      <c r="H168" s="53" t="s">
        <v>246</v>
      </c>
      <c r="I168" s="53">
        <v>3.3535070285115452E-2</v>
      </c>
      <c r="J168" s="53">
        <v>0</v>
      </c>
      <c r="K168" s="53">
        <v>0</v>
      </c>
      <c r="L168" s="49">
        <v>7434864</v>
      </c>
      <c r="R168" s="21"/>
      <c r="S168" s="21"/>
    </row>
    <row r="169" spans="1:19" s="48" customFormat="1" x14ac:dyDescent="0.2">
      <c r="A169" s="49">
        <v>8</v>
      </c>
      <c r="B169" s="53" t="s">
        <v>107</v>
      </c>
      <c r="C169" s="53">
        <v>0.63706470294667883</v>
      </c>
      <c r="D169" s="53">
        <v>0.22024631469147049</v>
      </c>
      <c r="E169" s="53">
        <v>0.13216405483055316</v>
      </c>
      <c r="F169" s="49">
        <v>5920853</v>
      </c>
      <c r="G169" s="49">
        <v>8</v>
      </c>
      <c r="H169" s="53" t="s">
        <v>107</v>
      </c>
      <c r="I169" s="53">
        <v>0.69098271103602782</v>
      </c>
      <c r="J169" s="53">
        <v>0.15736758846516397</v>
      </c>
      <c r="K169" s="53">
        <v>0.18344755580267369</v>
      </c>
      <c r="L169" s="49">
        <v>5920853</v>
      </c>
      <c r="R169" s="21"/>
      <c r="S169" s="21"/>
    </row>
    <row r="170" spans="1:19" s="48" customFormat="1" x14ac:dyDescent="0.2">
      <c r="A170" s="49">
        <v>9</v>
      </c>
      <c r="B170" s="53"/>
      <c r="C170" s="53">
        <v>0</v>
      </c>
      <c r="D170" s="53">
        <v>0</v>
      </c>
      <c r="E170" s="53">
        <v>0</v>
      </c>
      <c r="F170" s="49"/>
      <c r="G170" s="49">
        <v>9</v>
      </c>
      <c r="H170" s="53"/>
      <c r="I170" s="53">
        <v>0</v>
      </c>
      <c r="J170" s="53">
        <v>0</v>
      </c>
      <c r="K170" s="53">
        <v>0</v>
      </c>
      <c r="L170" s="49"/>
      <c r="R170" s="21"/>
      <c r="S170" s="21"/>
    </row>
    <row r="171" spans="1:19" s="48" customFormat="1" x14ac:dyDescent="0.2">
      <c r="A171" s="49">
        <v>10</v>
      </c>
      <c r="B171" s="53"/>
      <c r="C171" s="53">
        <v>0</v>
      </c>
      <c r="D171" s="53">
        <v>0</v>
      </c>
      <c r="E171" s="53">
        <v>0</v>
      </c>
      <c r="F171" s="49"/>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8763AA42-25DC-46B4-A9E8-6DB1F6D6CE66}">
      <formula1>$C$112:$C$113</formula1>
    </dataValidation>
  </dataValidations>
  <hyperlinks>
    <hyperlink ref="O1:P1" location="Home_page" display="Back to home page" xr:uid="{F33CFD98-B3FA-4A1C-A4C3-CCDD51272483}"/>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8FDB997B-3B21-4D7D-88F2-7A08D5F1E579}">
          <x14:colorSeries rgb="FF323232"/>
          <x14:colorNegative rgb="FFD00000"/>
          <x14:colorAxis rgb="FF000000"/>
          <x14:colorMarkers rgb="FFD00000"/>
          <x14:colorFirst rgb="FFD00000"/>
          <x14:colorLast rgb="FFD00000"/>
          <x14:colorHigh rgb="FFD00000"/>
          <x14:colorLow rgb="FFD00000"/>
          <x14:sparklines>
            <x14:sparkline>
              <xm:f>'NSWOS demersal u24m u300kW'!D3:N3</xm:f>
              <xm:sqref>C3</xm:sqref>
            </x14:sparkline>
            <x14:sparkline>
              <xm:f>'NSWOS demersal u24m u300kW'!D4:N4</xm:f>
              <xm:sqref>C4</xm:sqref>
            </x14:sparkline>
            <x14:sparkline>
              <xm:f>'NSWOS demersal u24m u300kW'!D5:N5</xm:f>
              <xm:sqref>C5</xm:sqref>
            </x14:sparkline>
            <x14:sparkline>
              <xm:f>'NSWOS demersal u24m u300kW'!D6:N6</xm:f>
              <xm:sqref>C6</xm:sqref>
            </x14:sparkline>
            <x14:sparkline>
              <xm:f>'NSWOS demersal u24m u300kW'!D7:N7</xm:f>
              <xm:sqref>C7</xm:sqref>
            </x14:sparkline>
            <x14:sparkline>
              <xm:f>'NSWOS demersal u24m u300kW'!D8:N8</xm:f>
              <xm:sqref>C8</xm:sqref>
            </x14:sparkline>
            <x14:sparkline>
              <xm:f>'NSWOS demersal u24m u300kW'!D9:N9</xm:f>
              <xm:sqref>C9</xm:sqref>
            </x14:sparkline>
            <x14:sparkline>
              <xm:f>'NSWOS demersal u24m u300kW'!D10:N10</xm:f>
              <xm:sqref>C10</xm:sqref>
            </x14:sparkline>
            <x14:sparkline>
              <xm:f>'NSWOS demersal u24m u300kW'!D11:N11</xm:f>
              <xm:sqref>C11</xm:sqref>
            </x14:sparkline>
            <x14:sparkline>
              <xm:f>'NSWOS demersal u24m u300kW'!D12:N12</xm:f>
              <xm:sqref>C12</xm:sqref>
            </x14:sparkline>
            <x14:sparkline>
              <xm:f>'NSWOS demersal u24m u300kW'!D13:N13</xm:f>
              <xm:sqref>C13</xm:sqref>
            </x14:sparkline>
            <x14:sparkline>
              <xm:f>'NSWOS demersal u24m u300kW'!D14:N14</xm:f>
              <xm:sqref>C14</xm:sqref>
            </x14:sparkline>
            <x14:sparkline>
              <xm:f>'NSWOS demersal u24m u300kW'!D15:N15</xm:f>
              <xm:sqref>C15</xm:sqref>
            </x14:sparkline>
            <x14:sparkline>
              <xm:f>'NSWOS demersal u24m u300kW'!D16:N16</xm:f>
              <xm:sqref>C16</xm:sqref>
            </x14:sparkline>
            <x14:sparkline>
              <xm:f>'NSWOS demersal u24m u300kW'!D17:N17</xm:f>
              <xm:sqref>C17</xm:sqref>
            </x14:sparkline>
            <x14:sparkline>
              <xm:f>'NSWOS demersal u24m u300kW'!D18:N18</xm:f>
              <xm:sqref>C18</xm:sqref>
            </x14:sparkline>
            <x14:sparkline>
              <xm:f>'NSWOS demersal u24m u300kW'!D19:N19</xm:f>
              <xm:sqref>C19</xm:sqref>
            </x14:sparkline>
            <x14:sparkline>
              <xm:f>'NSWOS demersal u24m u300kW'!D20:N20</xm:f>
              <xm:sqref>C20</xm:sqref>
            </x14:sparkline>
            <x14:sparkline>
              <xm:f>'NSWOS demersal u24m u300kW'!D21:N21</xm:f>
              <xm:sqref>C21</xm:sqref>
            </x14:sparkline>
            <x14:sparkline>
              <xm:f>'NSWOS demersal u24m u300kW'!D22:N22</xm:f>
              <xm:sqref>C22</xm:sqref>
            </x14:sparkline>
            <x14:sparkline>
              <xm:f>'NSWOS demersal u24m u300kW'!D23:N23</xm:f>
              <xm:sqref>C23</xm:sqref>
            </x14:sparkline>
            <x14:sparkline>
              <xm:f>'NSWOS demersal u24m u300kW'!D24:N24</xm:f>
              <xm:sqref>C24</xm:sqref>
            </x14:sparkline>
            <x14:sparkline>
              <xm:f>'NSWOS demersal u24m u300kW'!D25:N25</xm:f>
              <xm:sqref>C25</xm:sqref>
            </x14:sparkline>
            <x14:sparkline>
              <xm:f>'NSWOS demersal u24m u300kW'!D26:N26</xm:f>
              <xm:sqref>C26</xm:sqref>
            </x14:sparkline>
            <x14:sparkline>
              <xm:f>'NSWOS demersal u24m u300kW'!D27:N27</xm:f>
              <xm:sqref>C27</xm:sqref>
            </x14:sparkline>
            <x14:sparkline>
              <xm:f>'NSWOS demersal u24m u300kW'!D28:N28</xm:f>
              <xm:sqref>C28</xm:sqref>
            </x14:sparkline>
            <x14:sparkline>
              <xm:f>'NSWOS demersal u24m u300kW'!D29:N29</xm:f>
              <xm:sqref>C29</xm:sqref>
            </x14:sparkline>
            <x14:sparkline>
              <xm:f>'NSWOS demersal u24m u300kW'!D30:N30</xm:f>
              <xm:sqref>C30</xm:sqref>
            </x14:sparkline>
            <x14:sparkline>
              <xm:f>'NSWOS demersal u24m u300kW'!D31:N31</xm:f>
              <xm:sqref>C31</xm:sqref>
            </x14:sparkline>
            <x14:sparkline>
              <xm:f>'NSWOS demersal u24m u300kW'!D32:N32</xm:f>
              <xm:sqref>C32</xm:sqref>
            </x14:sparkline>
            <x14:sparkline>
              <xm:f>'NSWOS demersal u24m u300kW'!D33:N33</xm:f>
              <xm:sqref>C33</xm:sqref>
            </x14:sparkline>
            <x14:sparkline>
              <xm:f>'NSWOS demersal u24m u300kW'!D34:N34</xm:f>
              <xm:sqref>C34</xm:sqref>
            </x14:sparkline>
            <x14:sparkline>
              <xm:f>'NSWOS demersal u24m u300kW'!D35:N35</xm:f>
              <xm:sqref>C35</xm:sqref>
            </x14:sparkline>
            <x14:sparkline>
              <xm:f>'NSWOS demersal u24m u300kW'!D36:N36</xm:f>
              <xm:sqref>C36</xm:sqref>
            </x14:sparkline>
            <x14:sparkline>
              <xm:f>'NSWOS demersal u24m u300kW'!D37:N37</xm:f>
              <xm:sqref>C37</xm:sqref>
            </x14:sparkline>
            <x14:sparkline>
              <xm:f>'NSWOS demersal u24m u300kW'!D38:N38</xm:f>
              <xm:sqref>C38</xm:sqref>
            </x14:sparkline>
            <x14:sparkline>
              <xm:f>'NSWOS demersal u24m u300kW'!D39:N39</xm:f>
              <xm:sqref>C39</xm:sqref>
            </x14:sparkline>
            <x14:sparkline>
              <xm:f>'NSWOS demersal u24m u300kW'!D40:N40</xm:f>
              <xm:sqref>C40</xm:sqref>
            </x14:sparkline>
            <x14:sparkline>
              <xm:f>'NSWOS demersal u24m u300kW'!D41:N41</xm:f>
              <xm:sqref>C41</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B89F3-170F-4F5B-8774-3898CB70882D}">
  <sheetPr codeName="Feuil27">
    <pageSetUpPr fitToPage="1"/>
  </sheetPr>
  <dimension ref="A1:S192"/>
  <sheetViews>
    <sheetView zoomScale="70" zoomScaleNormal="70" zoomScalePageLayoutView="87" workbookViewId="0">
      <selection activeCell="O1" sqref="O1:P1"/>
    </sheetView>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380</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179</v>
      </c>
      <c r="E3" s="28">
        <v>171</v>
      </c>
      <c r="F3" s="28">
        <v>172</v>
      </c>
      <c r="G3" s="28">
        <v>166</v>
      </c>
      <c r="H3" s="28">
        <v>159</v>
      </c>
      <c r="I3" s="28">
        <v>175</v>
      </c>
      <c r="J3" s="28">
        <v>179</v>
      </c>
      <c r="K3" s="28">
        <v>187</v>
      </c>
      <c r="L3" s="28">
        <v>181</v>
      </c>
      <c r="M3" s="28">
        <v>178</v>
      </c>
      <c r="N3" s="28">
        <v>171</v>
      </c>
      <c r="O3" s="29">
        <f t="shared" ref="O3:O41" si="0">IF(N3=0,"",IFERROR(IF(AND(N3&gt;0,D3&lt;0),"na",IF(AND(N3&lt;0,D3&lt;0),-1,1)*(N3-D3)/D3),""))</f>
        <v>-4.4692737430167599E-2</v>
      </c>
      <c r="P3" s="29">
        <f t="shared" ref="P3:P41" si="1">IF(N3=0,"",IFERROR(IF(AND(N3&gt;0,J3&lt;0),"na",IF(AND(N3&lt;0,J3&lt;0),-1,1)*(N3-J3)/J3),""))</f>
        <v>-4.4692737430167599E-2</v>
      </c>
    </row>
    <row r="4" spans="1:17" ht="18" customHeight="1" x14ac:dyDescent="0.2">
      <c r="A4" s="193"/>
      <c r="B4" s="30" t="s">
        <v>55</v>
      </c>
      <c r="C4" s="31"/>
      <c r="D4" s="31">
        <v>22691</v>
      </c>
      <c r="E4" s="31">
        <v>21943</v>
      </c>
      <c r="F4" s="31">
        <v>23146</v>
      </c>
      <c r="G4" s="31">
        <v>22261</v>
      </c>
      <c r="H4" s="31">
        <v>21429</v>
      </c>
      <c r="I4" s="31">
        <v>23507</v>
      </c>
      <c r="J4" s="31">
        <v>24302</v>
      </c>
      <c r="K4" s="31">
        <v>25786</v>
      </c>
      <c r="L4" s="31">
        <v>25296</v>
      </c>
      <c r="M4" s="31">
        <v>25624</v>
      </c>
      <c r="N4" s="31">
        <v>24489</v>
      </c>
      <c r="O4" s="29">
        <f t="shared" si="0"/>
        <v>7.9238464589484817E-2</v>
      </c>
      <c r="P4" s="29">
        <f t="shared" si="1"/>
        <v>7.6948399308698874E-3</v>
      </c>
    </row>
    <row r="5" spans="1:17" ht="18" customHeight="1" x14ac:dyDescent="0.2">
      <c r="A5" s="193"/>
      <c r="B5" s="30" t="s">
        <v>56</v>
      </c>
      <c r="C5" s="31"/>
      <c r="D5" s="31">
        <v>2196</v>
      </c>
      <c r="E5" s="31">
        <v>2130</v>
      </c>
      <c r="F5" s="31">
        <v>2159</v>
      </c>
      <c r="G5" s="31">
        <v>2711</v>
      </c>
      <c r="H5" s="31">
        <v>2601</v>
      </c>
      <c r="I5" s="31">
        <v>2829</v>
      </c>
      <c r="J5" s="31">
        <v>2235</v>
      </c>
      <c r="K5" s="31">
        <v>2371</v>
      </c>
      <c r="L5" s="31">
        <v>2258</v>
      </c>
      <c r="M5" s="31">
        <v>2277</v>
      </c>
      <c r="N5" s="31">
        <v>2137.43994140625</v>
      </c>
      <c r="O5" s="29">
        <f t="shared" si="0"/>
        <v>-2.6666693348702187E-2</v>
      </c>
      <c r="P5" s="29">
        <f t="shared" si="1"/>
        <v>-4.365103292785235E-2</v>
      </c>
      <c r="Q5" s="32"/>
    </row>
    <row r="6" spans="1:17" ht="18" customHeight="1" x14ac:dyDescent="0.2">
      <c r="A6" s="193"/>
      <c r="B6" s="30" t="s">
        <v>57</v>
      </c>
      <c r="C6" s="31"/>
      <c r="D6" s="31">
        <v>18146.884765625</v>
      </c>
      <c r="E6" s="31">
        <v>17428.03515625</v>
      </c>
      <c r="F6" s="31">
        <v>18101.677734375</v>
      </c>
      <c r="G6" s="31">
        <v>17523.87109375</v>
      </c>
      <c r="H6" s="31">
        <v>16935.609375</v>
      </c>
      <c r="I6" s="31">
        <v>18649.3125</v>
      </c>
      <c r="J6" s="31">
        <v>19273.150390625</v>
      </c>
      <c r="K6" s="31">
        <v>20368.35546875</v>
      </c>
      <c r="L6" s="31">
        <v>19561.625</v>
      </c>
      <c r="M6" s="31">
        <v>18987.99609375</v>
      </c>
      <c r="N6" s="31">
        <v>17752.91796875</v>
      </c>
      <c r="O6" s="29">
        <f t="shared" si="0"/>
        <v>-2.1709885854418236E-2</v>
      </c>
      <c r="P6" s="29">
        <f t="shared" si="1"/>
        <v>-7.8878252442552602E-2</v>
      </c>
    </row>
    <row r="7" spans="1:17" ht="18" customHeight="1" x14ac:dyDescent="0.2">
      <c r="A7" s="193"/>
      <c r="B7" s="30" t="s">
        <v>58</v>
      </c>
      <c r="C7" s="31"/>
      <c r="D7" s="31">
        <v>8805.9365234375</v>
      </c>
      <c r="E7" s="31">
        <v>8951.8828125</v>
      </c>
      <c r="F7" s="31">
        <v>10254.8134765625</v>
      </c>
      <c r="G7" s="31">
        <v>9743.056640625</v>
      </c>
      <c r="H7" s="31">
        <v>9816.04296875</v>
      </c>
      <c r="I7" s="31">
        <v>11697.775390625</v>
      </c>
      <c r="J7" s="31">
        <v>11158.4521484375</v>
      </c>
      <c r="K7" s="31">
        <v>10556.8076171875</v>
      </c>
      <c r="L7" s="31">
        <v>10113.853515625</v>
      </c>
      <c r="M7" s="31">
        <v>8646.685546875</v>
      </c>
      <c r="N7" s="31">
        <v>8513.107421875</v>
      </c>
      <c r="O7" s="29">
        <f t="shared" si="0"/>
        <v>-3.3253601224937146E-2</v>
      </c>
      <c r="P7" s="29">
        <f t="shared" si="1"/>
        <v>-0.23707093881591124</v>
      </c>
    </row>
    <row r="8" spans="1:17" ht="18" customHeight="1" x14ac:dyDescent="0.2">
      <c r="A8" s="193"/>
      <c r="B8" s="30" t="s">
        <v>59</v>
      </c>
      <c r="C8" s="33"/>
      <c r="D8" s="33">
        <f ca="1">21.83857*OFFSET(D$112,MATCH($N$1,$C$112:$C$113,0)-1,0)</f>
        <v>21.838570000000001</v>
      </c>
      <c r="E8" s="33">
        <f ca="1">20.919032*OFFSET(E$112,MATCH($N$1,$C$112:$C$113,0)-1,0)</f>
        <v>20.919032000000001</v>
      </c>
      <c r="F8" s="33">
        <f ca="1">20.654214*OFFSET(F$112,MATCH($N$1,$C$112:$C$113,0)-1,0)</f>
        <v>20.654214</v>
      </c>
      <c r="G8" s="33">
        <f ca="1">21.721654*OFFSET(G$112,MATCH($N$1,$C$112:$C$113,0)-1,0)</f>
        <v>21.721654000000001</v>
      </c>
      <c r="H8" s="33">
        <f ca="1">22.507304*OFFSET(H$112,MATCH($N$1,$C$112:$C$113,0)-1,0)</f>
        <v>22.507304000000001</v>
      </c>
      <c r="I8" s="33">
        <f ca="1">27.593792*OFFSET(I$112,MATCH($N$1,$C$112:$C$113,0)-1,0)</f>
        <v>27.593792000000001</v>
      </c>
      <c r="J8" s="33">
        <f ca="1">29.814622*OFFSET(J$112,MATCH($N$1,$C$112:$C$113,0)-1,0)</f>
        <v>29.814622</v>
      </c>
      <c r="K8" s="33">
        <f ca="1">34.752168*OFFSET(K$112,MATCH($N$1,$C$112:$C$113,0)-1,0)</f>
        <v>34.752167999999998</v>
      </c>
      <c r="L8" s="33">
        <f ca="1">33.97872*OFFSET(L$112,MATCH($N$1,$C$112:$C$113,0)-1,0)</f>
        <v>33.978720000000003</v>
      </c>
      <c r="M8" s="33">
        <f ca="1">23.841682*OFFSET(M$112,MATCH($N$1,$C$112:$C$113,0)-1,0)</f>
        <v>23.841681999999999</v>
      </c>
      <c r="N8" s="33">
        <v>29.571923999999999</v>
      </c>
      <c r="O8" s="29">
        <f t="shared" ca="1" si="0"/>
        <v>0.35411448643386439</v>
      </c>
      <c r="P8" s="29">
        <f t="shared" ca="1" si="1"/>
        <v>-8.1402340100102805E-3</v>
      </c>
    </row>
    <row r="9" spans="1:17" ht="18" customHeight="1" x14ac:dyDescent="0.2">
      <c r="A9" s="193"/>
      <c r="B9" s="30" t="s">
        <v>60</v>
      </c>
      <c r="C9" s="31"/>
      <c r="D9" s="31">
        <v>27752</v>
      </c>
      <c r="E9" s="31">
        <v>26254</v>
      </c>
      <c r="F9" s="31">
        <v>26080</v>
      </c>
      <c r="G9" s="31">
        <v>26421</v>
      </c>
      <c r="H9" s="31">
        <v>26021</v>
      </c>
      <c r="I9" s="31">
        <v>28028</v>
      </c>
      <c r="J9" s="31">
        <v>27023</v>
      </c>
      <c r="K9" s="31">
        <v>27340</v>
      </c>
      <c r="L9" s="31">
        <v>28328</v>
      </c>
      <c r="M9" s="31">
        <v>24016</v>
      </c>
      <c r="N9" s="31">
        <v>24782</v>
      </c>
      <c r="O9" s="29">
        <f t="shared" si="0"/>
        <v>-0.10701931392332084</v>
      </c>
      <c r="P9" s="29">
        <f t="shared" si="1"/>
        <v>-8.2929356474114646E-2</v>
      </c>
    </row>
    <row r="10" spans="1:17" ht="18" customHeight="1" x14ac:dyDescent="0.2">
      <c r="A10" s="193"/>
      <c r="B10" s="30" t="s">
        <v>61</v>
      </c>
      <c r="C10" s="31"/>
      <c r="D10" s="31">
        <v>422.50302124023438</v>
      </c>
      <c r="E10" s="31">
        <v>285.27371215820313</v>
      </c>
      <c r="F10" s="31">
        <v>326.95355224609375</v>
      </c>
      <c r="G10" s="31">
        <v>398.77511596679688</v>
      </c>
      <c r="H10" s="31">
        <v>385.50265502929688</v>
      </c>
      <c r="I10" s="31">
        <v>437.93563842773438</v>
      </c>
      <c r="J10" s="31">
        <v>381.45968627929688</v>
      </c>
      <c r="K10" s="31">
        <v>423.68997192382813</v>
      </c>
      <c r="L10" s="31">
        <v>371.2176513671875</v>
      </c>
      <c r="M10" s="31">
        <v>358.33407592773438</v>
      </c>
      <c r="N10" s="31">
        <v>366.31475830078125</v>
      </c>
      <c r="O10" s="34">
        <f t="shared" si="0"/>
        <v>-0.13298902046786687</v>
      </c>
      <c r="P10" s="34">
        <f t="shared" si="1"/>
        <v>-3.9702564971510049E-2</v>
      </c>
    </row>
    <row r="11" spans="1:17" ht="18" customHeight="1" x14ac:dyDescent="0.2">
      <c r="A11" s="194" t="s">
        <v>27</v>
      </c>
      <c r="B11" s="35" t="s">
        <v>62</v>
      </c>
      <c r="C11" s="36"/>
      <c r="D11" s="36">
        <v>11.09446907043457</v>
      </c>
      <c r="E11" s="36">
        <v>11.109999656677246</v>
      </c>
      <c r="F11" s="36">
        <v>11.100348472595215</v>
      </c>
      <c r="G11" s="36">
        <v>11.111385345458984</v>
      </c>
      <c r="H11" s="36">
        <v>11.083395957946777</v>
      </c>
      <c r="I11" s="36">
        <v>11.113656997680664</v>
      </c>
      <c r="J11" s="36">
        <v>11.118547439575195</v>
      </c>
      <c r="K11" s="36">
        <v>11.164384841918945</v>
      </c>
      <c r="L11" s="36">
        <v>11.197624206542969</v>
      </c>
      <c r="M11" s="36">
        <v>11.225505828857422</v>
      </c>
      <c r="N11" s="36">
        <v>11.192280769348145</v>
      </c>
      <c r="O11" s="29">
        <f t="shared" si="0"/>
        <v>8.8162577490283577E-3</v>
      </c>
      <c r="P11" s="29">
        <f t="shared" si="1"/>
        <v>6.6315613773885503E-3</v>
      </c>
    </row>
    <row r="12" spans="1:17" ht="18" customHeight="1" x14ac:dyDescent="0.2">
      <c r="A12" s="195"/>
      <c r="B12" s="37" t="s">
        <v>55</v>
      </c>
      <c r="C12" s="31"/>
      <c r="D12" s="31">
        <v>126.76536560058594</v>
      </c>
      <c r="E12" s="31">
        <v>128.32164001464844</v>
      </c>
      <c r="F12" s="31">
        <v>134.56976318359375</v>
      </c>
      <c r="G12" s="31">
        <v>134.1024169921875</v>
      </c>
      <c r="H12" s="31">
        <v>134.77359008789063</v>
      </c>
      <c r="I12" s="31">
        <v>134.32571411132813</v>
      </c>
      <c r="J12" s="31">
        <v>135.76536560058594</v>
      </c>
      <c r="K12" s="31">
        <v>137.89305114746094</v>
      </c>
      <c r="L12" s="31">
        <v>139.75691223144531</v>
      </c>
      <c r="M12" s="31">
        <v>143.95506286621094</v>
      </c>
      <c r="N12" s="31">
        <v>143.21052551269531</v>
      </c>
      <c r="O12" s="29">
        <f t="shared" si="0"/>
        <v>0.12972912462482072</v>
      </c>
      <c r="P12" s="29">
        <f t="shared" si="1"/>
        <v>5.4838433050831359E-2</v>
      </c>
    </row>
    <row r="13" spans="1:17" ht="18" customHeight="1" x14ac:dyDescent="0.2">
      <c r="A13" s="195"/>
      <c r="B13" s="37" t="s">
        <v>56</v>
      </c>
      <c r="C13" s="31"/>
      <c r="D13" s="31">
        <v>12.268156051635742</v>
      </c>
      <c r="E13" s="31">
        <v>12.456140518188477</v>
      </c>
      <c r="F13" s="31">
        <v>12.552325248718262</v>
      </c>
      <c r="G13" s="31">
        <v>16.331325531005859</v>
      </c>
      <c r="H13" s="31">
        <v>16.358489990234375</v>
      </c>
      <c r="I13" s="31">
        <v>16.165714263916016</v>
      </c>
      <c r="J13" s="31">
        <v>12.48603343963623</v>
      </c>
      <c r="K13" s="31">
        <v>12.679144859313965</v>
      </c>
      <c r="L13" s="31">
        <v>12.475137710571289</v>
      </c>
      <c r="M13" s="31">
        <v>12.792135238647461</v>
      </c>
      <c r="N13" s="31">
        <v>12.499649047851563</v>
      </c>
      <c r="O13" s="29">
        <f t="shared" si="0"/>
        <v>1.8869420574818562E-2</v>
      </c>
      <c r="P13" s="29">
        <f t="shared" si="1"/>
        <v>1.0904670631515392E-3</v>
      </c>
    </row>
    <row r="14" spans="1:17" ht="18" customHeight="1" x14ac:dyDescent="0.2">
      <c r="A14" s="195"/>
      <c r="B14" s="37" t="s">
        <v>57</v>
      </c>
      <c r="C14" s="31"/>
      <c r="D14" s="31">
        <v>101.37924194335938</v>
      </c>
      <c r="E14" s="31">
        <v>101.9183349609375</v>
      </c>
      <c r="F14" s="31">
        <v>105.2423095703125</v>
      </c>
      <c r="G14" s="31">
        <v>105.56548309326172</v>
      </c>
      <c r="H14" s="31">
        <v>106.51326751708984</v>
      </c>
      <c r="I14" s="31">
        <v>106.5675048828125</v>
      </c>
      <c r="J14" s="31">
        <v>107.67123413085938</v>
      </c>
      <c r="K14" s="31">
        <v>108.92169189453125</v>
      </c>
      <c r="L14" s="31">
        <v>109.28282165527344</v>
      </c>
      <c r="M14" s="31">
        <v>111.04090881347656</v>
      </c>
      <c r="N14" s="31">
        <v>110.26657104492188</v>
      </c>
      <c r="O14" s="29">
        <f t="shared" si="0"/>
        <v>8.7664189741405385E-2</v>
      </c>
      <c r="P14" s="29">
        <f t="shared" si="1"/>
        <v>2.4104273857474594E-2</v>
      </c>
    </row>
    <row r="15" spans="1:17" ht="18" customHeight="1" x14ac:dyDescent="0.2">
      <c r="A15" s="195"/>
      <c r="B15" s="37" t="s">
        <v>58</v>
      </c>
      <c r="C15" s="33"/>
      <c r="D15" s="33">
        <v>49.195178985595703</v>
      </c>
      <c r="E15" s="33">
        <v>52.350193023681641</v>
      </c>
      <c r="F15" s="33">
        <v>59.621009826660156</v>
      </c>
      <c r="G15" s="33">
        <v>58.693111419677734</v>
      </c>
      <c r="H15" s="33">
        <v>61.736118316650391</v>
      </c>
      <c r="I15" s="33">
        <v>66.844436645507813</v>
      </c>
      <c r="J15" s="33">
        <v>62.337718963623047</v>
      </c>
      <c r="K15" s="33">
        <v>56.453514099121094</v>
      </c>
      <c r="L15" s="33">
        <v>55.877643585205078</v>
      </c>
      <c r="M15" s="33">
        <v>48.576885223388672</v>
      </c>
      <c r="N15" s="33">
        <v>49.784252166748047</v>
      </c>
      <c r="O15" s="29">
        <f t="shared" si="0"/>
        <v>1.1974205466857306E-2</v>
      </c>
      <c r="P15" s="29">
        <f t="shared" si="1"/>
        <v>-0.20137834693952358</v>
      </c>
    </row>
    <row r="16" spans="1:17" ht="18" customHeight="1" x14ac:dyDescent="0.2">
      <c r="A16" s="195"/>
      <c r="B16" s="37" t="s">
        <v>63</v>
      </c>
      <c r="C16" s="33"/>
      <c r="D16" s="33">
        <f ca="1">122.0031796875*OFFSET(D$112,MATCH($N$1,$C$112:$C$113,0)-1,0)</f>
        <v>122.00317968749999</v>
      </c>
      <c r="E16" s="33">
        <f ca="1">122.333515625*OFFSET(E$112,MATCH($N$1,$C$112:$C$113,0)-1,0)</f>
        <v>122.333515625</v>
      </c>
      <c r="F16" s="33">
        <f ca="1">120.0826328125*OFFSET(F$112,MATCH($N$1,$C$112:$C$113,0)-1,0)</f>
        <v>120.08263281249999</v>
      </c>
      <c r="G16" s="33">
        <f ca="1">130.853328125*OFFSET(G$112,MATCH($N$1,$C$112:$C$113,0)-1,0)</f>
        <v>130.85332812499999</v>
      </c>
      <c r="H16" s="33">
        <f ca="1">141.555375*OFFSET(H$112,MATCH($N$1,$C$112:$C$113,0)-1,0)</f>
        <v>141.555375</v>
      </c>
      <c r="I16" s="33">
        <f ca="1">157.6788125*OFFSET(I$112,MATCH($N$1,$C$112:$C$113,0)-1,0)</f>
        <v>157.67881249999999</v>
      </c>
      <c r="J16" s="33">
        <f ca="1">166.562140625*OFFSET(J$112,MATCH($N$1,$C$112:$C$113,0)-1,0)</f>
        <v>166.56214062500001</v>
      </c>
      <c r="K16" s="33">
        <f ca="1">185.84046875*OFFSET(K$112,MATCH($N$1,$C$112:$C$113,0)-1,0)</f>
        <v>185.84046875000001</v>
      </c>
      <c r="L16" s="33">
        <f ca="1">187.727734375*OFFSET(L$112,MATCH($N$1,$C$112:$C$113,0)-1,0)</f>
        <v>187.72773437500001</v>
      </c>
      <c r="M16" s="33">
        <f ca="1">133.94203125*OFFSET(M$112,MATCH($N$1,$C$112:$C$113,0)-1,0)</f>
        <v>133.94203125000001</v>
      </c>
      <c r="N16" s="33">
        <v>172.93523437499999</v>
      </c>
      <c r="O16" s="29">
        <f t="shared" ca="1" si="0"/>
        <v>0.41746497769941576</v>
      </c>
      <c r="P16" s="29">
        <f t="shared" ca="1" si="1"/>
        <v>3.8262559103082378E-2</v>
      </c>
    </row>
    <row r="17" spans="1:16" ht="18" customHeight="1" x14ac:dyDescent="0.2">
      <c r="A17" s="195"/>
      <c r="B17" s="37" t="s">
        <v>60</v>
      </c>
      <c r="C17" s="31"/>
      <c r="D17" s="31">
        <v>155.03910827636719</v>
      </c>
      <c r="E17" s="31">
        <v>153.53216552734375</v>
      </c>
      <c r="F17" s="31">
        <v>151.62791442871094</v>
      </c>
      <c r="G17" s="31">
        <v>159.16264343261719</v>
      </c>
      <c r="H17" s="31">
        <v>163.65408325195313</v>
      </c>
      <c r="I17" s="31">
        <v>160.16000366210938</v>
      </c>
      <c r="J17" s="31">
        <v>150.96647644042969</v>
      </c>
      <c r="K17" s="31">
        <v>146.20320129394531</v>
      </c>
      <c r="L17" s="31">
        <v>156.50828552246094</v>
      </c>
      <c r="M17" s="31">
        <v>134.92134094238281</v>
      </c>
      <c r="N17" s="31">
        <v>144.92398071289063</v>
      </c>
      <c r="O17" s="29">
        <f t="shared" si="0"/>
        <v>-6.5242426094490283E-2</v>
      </c>
      <c r="P17" s="29">
        <f t="shared" si="1"/>
        <v>-4.0025414052260726E-2</v>
      </c>
    </row>
    <row r="18" spans="1:16" ht="18" customHeight="1" x14ac:dyDescent="0.2">
      <c r="A18" s="195"/>
      <c r="B18" s="37" t="s">
        <v>64</v>
      </c>
      <c r="C18" s="31"/>
      <c r="D18" s="31">
        <v>27.117319107055664</v>
      </c>
      <c r="E18" s="31">
        <v>27.941520690917969</v>
      </c>
      <c r="F18" s="31">
        <v>27.622093200683594</v>
      </c>
      <c r="G18" s="31">
        <v>27.493976593017578</v>
      </c>
      <c r="H18" s="31">
        <v>27.553459167480469</v>
      </c>
      <c r="I18" s="31">
        <v>27.59428596496582</v>
      </c>
      <c r="J18" s="31">
        <v>28.072626113891602</v>
      </c>
      <c r="K18" s="31">
        <v>27.673797607421875</v>
      </c>
      <c r="L18" s="31">
        <v>28.374301910400391</v>
      </c>
      <c r="M18" s="31">
        <v>28.900585174560547</v>
      </c>
      <c r="N18" s="31">
        <v>30.031055450439453</v>
      </c>
      <c r="O18" s="29">
        <f t="shared" si="0"/>
        <v>0.10744927741126382</v>
      </c>
      <c r="P18" s="29">
        <f t="shared" si="1"/>
        <v>6.9762954438335661E-2</v>
      </c>
    </row>
    <row r="19" spans="1:16" ht="18" customHeight="1" x14ac:dyDescent="0.2">
      <c r="A19" s="195"/>
      <c r="B19" s="37" t="s">
        <v>65</v>
      </c>
      <c r="C19" s="38"/>
      <c r="D19" s="38">
        <v>0.31730818748474121</v>
      </c>
      <c r="E19" s="38">
        <v>0.34097215533256531</v>
      </c>
      <c r="F19" s="38">
        <v>0.39320603013038635</v>
      </c>
      <c r="G19" s="38">
        <v>0.36876186728477478</v>
      </c>
      <c r="H19" s="38">
        <v>0.37723544239997864</v>
      </c>
      <c r="I19" s="38">
        <v>0.41736036539077759</v>
      </c>
      <c r="J19" s="38">
        <v>0.41292425990104675</v>
      </c>
      <c r="K19" s="38">
        <v>0.38613048195838928</v>
      </c>
      <c r="L19" s="38">
        <v>0.35702675580978394</v>
      </c>
      <c r="M19" s="38">
        <v>0.36003854870796204</v>
      </c>
      <c r="N19" s="38">
        <v>0.34351977705955505</v>
      </c>
      <c r="O19" s="29">
        <f t="shared" si="0"/>
        <v>8.260609277872577E-2</v>
      </c>
      <c r="P19" s="29">
        <f t="shared" si="1"/>
        <v>-0.16808041953777142</v>
      </c>
    </row>
    <row r="20" spans="1:16" ht="18" customHeight="1" x14ac:dyDescent="0.2">
      <c r="A20" s="196"/>
      <c r="B20" s="39" t="s">
        <v>28</v>
      </c>
      <c r="C20" s="40"/>
      <c r="D20" s="40">
        <f ca="1">2480*OFFSET(D$112,MATCH($N$1,$C$112:$C$113,0)-1,0)</f>
        <v>2480</v>
      </c>
      <c r="E20" s="40">
        <f ca="1">2337*OFFSET(E$112,MATCH($N$1,$C$112:$C$113,0)-1,0)</f>
        <v>2337</v>
      </c>
      <c r="F20" s="40">
        <f ca="1">2014*OFFSET(F$112,MATCH($N$1,$C$112:$C$113,0)-1,0)</f>
        <v>2014</v>
      </c>
      <c r="G20" s="40">
        <f ca="1">2229*OFFSET(G$112,MATCH($N$1,$C$112:$C$113,0)-1,0)</f>
        <v>2229</v>
      </c>
      <c r="H20" s="40">
        <f ca="1">2293*OFFSET(H$112,MATCH($N$1,$C$112:$C$113,0)-1,0)</f>
        <v>2293</v>
      </c>
      <c r="I20" s="40">
        <f ca="1">2359*OFFSET(I$112,MATCH($N$1,$C$112:$C$113,0)-1,0)</f>
        <v>2359</v>
      </c>
      <c r="J20" s="40">
        <f ca="1">2672*OFFSET(J$112,MATCH($N$1,$C$112:$C$113,0)-1,0)</f>
        <v>2672</v>
      </c>
      <c r="K20" s="40">
        <f ca="1">3292*OFFSET(K$112,MATCH($N$1,$C$112:$C$113,0)-1,0)</f>
        <v>3292</v>
      </c>
      <c r="L20" s="40">
        <f ca="1">3360*OFFSET(L$112,MATCH($N$1,$C$112:$C$113,0)-1,0)</f>
        <v>3360</v>
      </c>
      <c r="M20" s="40">
        <f ca="1">2757*OFFSET(M$112,MATCH($N$1,$C$112:$C$113,0)-1,0)</f>
        <v>2757</v>
      </c>
      <c r="N20" s="40">
        <v>3474</v>
      </c>
      <c r="O20" s="34">
        <f t="shared" ca="1" si="0"/>
        <v>0.40080645161290324</v>
      </c>
      <c r="P20" s="34">
        <f t="shared" ca="1" si="1"/>
        <v>0.30014970059880242</v>
      </c>
    </row>
    <row r="21" spans="1:16" ht="18" customHeight="1" x14ac:dyDescent="0.2">
      <c r="A21" s="197" t="s">
        <v>29</v>
      </c>
      <c r="B21" s="35" t="s">
        <v>66</v>
      </c>
      <c r="C21" s="41"/>
      <c r="D21" s="41">
        <v>2.4473436989740622</v>
      </c>
      <c r="E21" s="41">
        <v>2.5862568585868888</v>
      </c>
      <c r="F21" s="41">
        <v>2.9470989899997764</v>
      </c>
      <c r="G21" s="41">
        <v>2.7317684115728165</v>
      </c>
      <c r="H21" s="41">
        <v>2.778745358943667</v>
      </c>
      <c r="I21" s="41">
        <v>3.057889747382696</v>
      </c>
      <c r="J21" s="41">
        <v>2.9541785084541461</v>
      </c>
      <c r="K21" s="41">
        <v>2.6707805389877768</v>
      </c>
      <c r="L21" s="41">
        <v>2.4119970872959495</v>
      </c>
      <c r="M21" s="41">
        <v>2.4240050097617618</v>
      </c>
      <c r="N21" s="41">
        <v>2.3168214113975139</v>
      </c>
      <c r="O21" s="29">
        <f t="shared" si="0"/>
        <v>-5.3332226132056536E-2</v>
      </c>
      <c r="P21" s="29">
        <f t="shared" si="1"/>
        <v>-0.21574765886105732</v>
      </c>
    </row>
    <row r="22" spans="1:16" ht="18" customHeight="1" x14ac:dyDescent="0.2">
      <c r="A22" s="197"/>
      <c r="B22" s="37" t="s">
        <v>67</v>
      </c>
      <c r="C22" s="38"/>
      <c r="D22" s="38">
        <f ca="1">6.06936938171174*OFFSET(D$112,MATCH($N$1,$C$112:$C$113,0)-1,0)</f>
        <v>6.0693693817117396</v>
      </c>
      <c r="E22" s="38">
        <f ca="1">6.04364330953048*OFFSET(E$112,MATCH($N$1,$C$112:$C$113,0)-1,0)</f>
        <v>6.0436433095304798</v>
      </c>
      <c r="F22" s="38">
        <f ca="1">5.93574994632152*OFFSET(F$112,MATCH($N$1,$C$112:$C$113,0)-1,0)</f>
        <v>5.9357499463215202</v>
      </c>
      <c r="G22" s="38">
        <f ca="1">6.09033972939461*OFFSET(G$112,MATCH($N$1,$C$112:$C$113,0)-1,0)</f>
        <v>6.0903397293946098</v>
      </c>
      <c r="H22" s="38">
        <f ca="1">6.37141355887116*OFFSET(H$112,MATCH($N$1,$C$112:$C$113,0)-1,0)</f>
        <v>6.3714135588711596</v>
      </c>
      <c r="I22" s="38">
        <f ca="1">7.21323192056001*OFFSET(I$112,MATCH($N$1,$C$112:$C$113,0)-1,0)</f>
        <v>7.2132319205600099</v>
      </c>
      <c r="J22" s="38">
        <f ca="1">7.89336383071105*OFFSET(J$112,MATCH($N$1,$C$112:$C$113,0)-1,0)</f>
        <v>7.8933638307110501</v>
      </c>
      <c r="K22" s="38">
        <f ca="1">8.79199665803609*OFFSET(K$112,MATCH($N$1,$C$112:$C$113,0)-1,0)</f>
        <v>8.7919966580360907</v>
      </c>
      <c r="L22" s="38">
        <f ca="1">8.10339734220748*OFFSET(L$112,MATCH($N$1,$C$112:$C$113,0)-1,0)</f>
        <v>8.1033973422074794</v>
      </c>
      <c r="M22" s="38">
        <f ca="1">6.68375819640536*OFFSET(M$112,MATCH($N$1,$C$112:$C$113,0)-1,0)</f>
        <v>6.6837581964053596</v>
      </c>
      <c r="N22" s="38">
        <v>8.0479275342546313</v>
      </c>
      <c r="O22" s="29">
        <f t="shared" ca="1" si="0"/>
        <v>0.32599072953191727</v>
      </c>
      <c r="P22" s="29">
        <f t="shared" ca="1" si="1"/>
        <v>1.9581474623304899E-2</v>
      </c>
    </row>
    <row r="23" spans="1:16" ht="18" customHeight="1" x14ac:dyDescent="0.2">
      <c r="A23" s="197"/>
      <c r="B23" s="37" t="s">
        <v>11</v>
      </c>
      <c r="C23" s="38"/>
      <c r="D23" s="38">
        <f ca="1">5.26274985007696*OFFSET(D$112,MATCH($N$1,$C$112:$C$113,0)-1,0)</f>
        <v>5.2627498500769603</v>
      </c>
      <c r="E23" s="38">
        <f ca="1">4.13003928141978*OFFSET(E$112,MATCH($N$1,$C$112:$C$113,0)-1,0)</f>
        <v>4.1300392814197799</v>
      </c>
      <c r="F23" s="38">
        <f ca="1">4.72236923062516*OFFSET(F$112,MATCH($N$1,$C$112:$C$113,0)-1,0)</f>
        <v>4.7223692306251603</v>
      </c>
      <c r="G23" s="38">
        <f ca="1">4.46179479470061*OFFSET(G$112,MATCH($N$1,$C$112:$C$113,0)-1,0)</f>
        <v>4.4617947947006096</v>
      </c>
      <c r="H23" s="38">
        <f ca="1">4.28666665816868*OFFSET(H$112,MATCH($N$1,$C$112:$C$113,0)-1,0)</f>
        <v>4.2866666581686799</v>
      </c>
      <c r="I23" s="38">
        <f ca="1">5.00791925802976*OFFSET(I$112,MATCH($N$1,$C$112:$C$113,0)-1,0)</f>
        <v>5.0079192580297596</v>
      </c>
      <c r="J23" s="38">
        <f ca="1">5.64072371787865*OFFSET(J$112,MATCH($N$1,$C$112:$C$113,0)-1,0)</f>
        <v>5.6407237178786502</v>
      </c>
      <c r="K23" s="38">
        <f ca="1">5.81958777270691*OFFSET(K$112,MATCH($N$1,$C$112:$C$113,0)-1,0)</f>
        <v>5.8195877727069103</v>
      </c>
      <c r="L23" s="38">
        <f ca="1">5.50920821350358*OFFSET(L$112,MATCH($N$1,$C$112:$C$113,0)-1,0)</f>
        <v>5.5092082135035803</v>
      </c>
      <c r="M23" s="38">
        <f ca="1">5.21774464318938*OFFSET(M$112,MATCH($N$1,$C$112:$C$113,0)-1,0)</f>
        <v>5.2177446431893797</v>
      </c>
      <c r="N23" s="38">
        <v>5.7691658646113693</v>
      </c>
      <c r="O23" s="29">
        <f t="shared" ca="1" si="0"/>
        <v>9.6226503056572862E-2</v>
      </c>
      <c r="P23" s="29">
        <f t="shared" ca="1" si="1"/>
        <v>2.2770508388066071E-2</v>
      </c>
    </row>
    <row r="24" spans="1:16" ht="18" customHeight="1" x14ac:dyDescent="0.2">
      <c r="A24" s="197"/>
      <c r="B24" s="37" t="s">
        <v>12</v>
      </c>
      <c r="C24" s="38"/>
      <c r="D24" s="38">
        <f ca="1">0.825348595362957*OFFSET(D$112,MATCH($N$1,$C$112:$C$113,0)-1,0)</f>
        <v>0.82534859536295702</v>
      </c>
      <c r="E24" s="38">
        <f ca="1">1.97279264574514*OFFSET(E$112,MATCH($N$1,$C$112:$C$113,0)-1,0)</f>
        <v>1.9727926457451399</v>
      </c>
      <c r="F24" s="38">
        <f ca="1">1.33017364023523*OFFSET(F$112,MATCH($N$1,$C$112:$C$113,0)-1,0)</f>
        <v>1.33017364023523</v>
      </c>
      <c r="G24" s="38">
        <f ca="1">1.76436732081756*OFFSET(G$112,MATCH($N$1,$C$112:$C$113,0)-1,0)</f>
        <v>1.7643673208175601</v>
      </c>
      <c r="H24" s="38">
        <f ca="1">2.21356579848564*OFFSET(H$112,MATCH($N$1,$C$112:$C$113,0)-1,0)</f>
        <v>2.2135657984856398</v>
      </c>
      <c r="I24" s="38">
        <f ca="1">2.45168920672682*OFFSET(I$112,MATCH($N$1,$C$112:$C$113,0)-1,0)</f>
        <v>2.4516892067268201</v>
      </c>
      <c r="J24" s="38">
        <f ca="1">3.04041257354112*OFFSET(J$112,MATCH($N$1,$C$112:$C$113,0)-1,0)</f>
        <v>3.0404125735411198</v>
      </c>
      <c r="K24" s="38">
        <f ca="1">3.25729453755039*OFFSET(K$112,MATCH($N$1,$C$112:$C$113,0)-1,0)</f>
        <v>3.2572945375503899</v>
      </c>
      <c r="L24" s="38">
        <f ca="1">2.75802477171082*OFFSET(L$112,MATCH($N$1,$C$112:$C$113,0)-1,0)</f>
        <v>2.7580247717108199</v>
      </c>
      <c r="M24" s="38">
        <f ca="1">2.23628901793032*OFFSET(M$112,MATCH($N$1,$C$112:$C$113,0)-1,0)</f>
        <v>2.2362890179303201</v>
      </c>
      <c r="N24" s="38">
        <v>2.6264468012604683</v>
      </c>
      <c r="O24" s="29">
        <f t="shared" ca="1" si="0"/>
        <v>2.1822272625368151</v>
      </c>
      <c r="P24" s="29">
        <f t="shared" ca="1" si="1"/>
        <v>-0.13615447320641497</v>
      </c>
    </row>
    <row r="25" spans="1:16" ht="18" customHeight="1" x14ac:dyDescent="0.2">
      <c r="A25" s="197"/>
      <c r="B25" s="37" t="s">
        <v>68</v>
      </c>
      <c r="C25" s="33"/>
      <c r="D25" s="33">
        <f ca="1">51.69*OFFSET(D$112,MATCH($N$1,$C$112:$C$113,0)-1,0)</f>
        <v>51.69</v>
      </c>
      <c r="E25" s="33">
        <f ca="1">73.31*OFFSET(E$112,MATCH($N$1,$C$112:$C$113,0)-1,0)</f>
        <v>73.31</v>
      </c>
      <c r="F25" s="33">
        <f ca="1">63.18*OFFSET(F$112,MATCH($N$1,$C$112:$C$113,0)-1,0)</f>
        <v>63.18</v>
      </c>
      <c r="G25" s="33">
        <f ca="1">54.49*OFFSET(G$112,MATCH($N$1,$C$112:$C$113,0)-1,0)</f>
        <v>54.49</v>
      </c>
      <c r="H25" s="33">
        <f ca="1">58.4*OFFSET(H$112,MATCH($N$1,$C$112:$C$113,0)-1,0)</f>
        <v>58.4</v>
      </c>
      <c r="I25" s="33">
        <f ca="1">63.02*OFFSET(I$112,MATCH($N$1,$C$112:$C$113,0)-1,0)</f>
        <v>63.02</v>
      </c>
      <c r="J25" s="33">
        <f ca="1">78.18*OFFSET(J$112,MATCH($N$1,$C$112:$C$113,0)-1,0)</f>
        <v>78.180000000000007</v>
      </c>
      <c r="K25" s="33">
        <f ca="1">82*OFFSET(K$112,MATCH($N$1,$C$112:$C$113,0)-1,0)</f>
        <v>82</v>
      </c>
      <c r="L25" s="33">
        <f ca="1">91.52*OFFSET(L$112,MATCH($N$1,$C$112:$C$113,0)-1,0)</f>
        <v>91.52</v>
      </c>
      <c r="M25" s="33">
        <f ca="1">66.51*OFFSET(M$112,MATCH($N$1,$C$112:$C$113,0)-1,0)</f>
        <v>66.510000000000005</v>
      </c>
      <c r="N25" s="33">
        <v>80.709999999999994</v>
      </c>
      <c r="O25" s="29">
        <f t="shared" ca="1" si="0"/>
        <v>0.56142387308957242</v>
      </c>
      <c r="P25" s="29">
        <f t="shared" ca="1" si="1"/>
        <v>3.2361217702737102E-2</v>
      </c>
    </row>
    <row r="26" spans="1:16" ht="18" customHeight="1" x14ac:dyDescent="0.2">
      <c r="A26" s="198"/>
      <c r="B26" s="37" t="s">
        <v>69</v>
      </c>
      <c r="C26" s="33"/>
      <c r="D26" s="33">
        <f ca="1">7.03*OFFSET(D$112,MATCH($N$1,$C$112:$C$113,0)-1,0)</f>
        <v>7.03</v>
      </c>
      <c r="E26" s="33">
        <f ca="1">23.92*OFFSET(E$112,MATCH($N$1,$C$112:$C$113,0)-1,0)</f>
        <v>23.92</v>
      </c>
      <c r="F26" s="33">
        <f ca="1">14.15*OFFSET(F$112,MATCH($N$1,$C$112:$C$113,0)-1,0)</f>
        <v>14.15</v>
      </c>
      <c r="G26" s="33">
        <f ca="1">15.78*OFFSET(G$112,MATCH($N$1,$C$112:$C$113,0)-1,0)</f>
        <v>15.78</v>
      </c>
      <c r="H26" s="33">
        <f ca="1">20.29*OFFSET(H$112,MATCH($N$1,$C$112:$C$113,0)-1,0)</f>
        <v>20.29</v>
      </c>
      <c r="I26" s="33">
        <f ca="1">21.42*OFFSET(I$112,MATCH($N$1,$C$112:$C$113,0)-1,0)</f>
        <v>21.42</v>
      </c>
      <c r="J26" s="33">
        <f ca="1">30.13*OFFSET(J$112,MATCH($N$1,$C$112:$C$113,0)-1,0)</f>
        <v>30.13</v>
      </c>
      <c r="K26" s="33">
        <f ca="1">30.41*OFFSET(K$112,MATCH($N$1,$C$112:$C$113,0)-1,0)</f>
        <v>30.41</v>
      </c>
      <c r="L26" s="33">
        <f ca="1">31.16*OFFSET(L$112,MATCH($N$1,$C$112:$C$113,0)-1,0)</f>
        <v>31.16</v>
      </c>
      <c r="M26" s="33">
        <f ca="1">22.25*OFFSET(M$112,MATCH($N$1,$C$112:$C$113,0)-1,0)</f>
        <v>22.25</v>
      </c>
      <c r="N26" s="33">
        <v>26.33</v>
      </c>
      <c r="O26" s="34">
        <f t="shared" ca="1" si="0"/>
        <v>2.745376955903271</v>
      </c>
      <c r="P26" s="34">
        <f t="shared" ca="1" si="1"/>
        <v>-0.12612014603385333</v>
      </c>
    </row>
    <row r="27" spans="1:16" ht="18" customHeight="1" x14ac:dyDescent="0.2">
      <c r="A27" s="187" t="s">
        <v>30</v>
      </c>
      <c r="B27" s="35" t="s">
        <v>63</v>
      </c>
      <c r="C27" s="36"/>
      <c r="D27" s="36">
        <f ca="1">122*OFFSET(D$112,MATCH($N$1,$C$112:$C$113,0)-1,0)</f>
        <v>122</v>
      </c>
      <c r="E27" s="36">
        <f ca="1">122.3*OFFSET(E$112,MATCH($N$1,$C$112:$C$113,0)-1,0)</f>
        <v>122.3</v>
      </c>
      <c r="F27" s="36">
        <f ca="1">120.1*OFFSET(F$112,MATCH($N$1,$C$112:$C$113,0)-1,0)</f>
        <v>120.1</v>
      </c>
      <c r="G27" s="36">
        <f ca="1">130.9*OFFSET(G$112,MATCH($N$1,$C$112:$C$113,0)-1,0)</f>
        <v>130.9</v>
      </c>
      <c r="H27" s="36">
        <f ca="1">141.6*OFFSET(H$112,MATCH($N$1,$C$112:$C$113,0)-1,0)</f>
        <v>141.6</v>
      </c>
      <c r="I27" s="36">
        <f ca="1">157.7*OFFSET(I$112,MATCH($N$1,$C$112:$C$113,0)-1,0)</f>
        <v>157.69999999999999</v>
      </c>
      <c r="J27" s="36">
        <f ca="1">166.6*OFFSET(J$112,MATCH($N$1,$C$112:$C$113,0)-1,0)</f>
        <v>166.6</v>
      </c>
      <c r="K27" s="36">
        <f ca="1">185.8*OFFSET(K$112,MATCH($N$1,$C$112:$C$113,0)-1,0)</f>
        <v>185.8</v>
      </c>
      <c r="L27" s="36">
        <f ca="1">187.7*OFFSET(L$112,MATCH($N$1,$C$112:$C$113,0)-1,0)</f>
        <v>187.7</v>
      </c>
      <c r="M27" s="36">
        <f ca="1">133.9*OFFSET(M$112,MATCH($N$1,$C$112:$C$113,0)-1,0)</f>
        <v>133.9</v>
      </c>
      <c r="N27" s="36">
        <v>172.9</v>
      </c>
      <c r="O27" s="29">
        <f t="shared" ca="1" si="0"/>
        <v>0.41721311475409839</v>
      </c>
      <c r="P27" s="29">
        <f t="shared" ca="1" si="1"/>
        <v>3.7815126050420235E-2</v>
      </c>
    </row>
    <row r="28" spans="1:16" ht="18" customHeight="1" x14ac:dyDescent="0.2">
      <c r="A28" s="199"/>
      <c r="B28" s="37" t="s">
        <v>70</v>
      </c>
      <c r="C28" s="33"/>
      <c r="D28" s="33">
        <f ca="1">0.4*OFFSET(D$112,MATCH($N$1,$C$112:$C$113,0)-1,0)</f>
        <v>0.4</v>
      </c>
      <c r="E28" s="33">
        <f ca="1">1.2*OFFSET(E$112,MATCH($N$1,$C$112:$C$113,0)-1,0)</f>
        <v>1.2</v>
      </c>
      <c r="F28" s="33">
        <f ca="1">2.4*OFFSET(F$112,MATCH($N$1,$C$112:$C$113,0)-1,0)</f>
        <v>2.4</v>
      </c>
      <c r="G28" s="33">
        <f ca="1">2.9*OFFSET(G$112,MATCH($N$1,$C$112:$C$113,0)-1,0)</f>
        <v>2.9</v>
      </c>
      <c r="H28" s="33">
        <f ca="1">2.9*OFFSET(H$112,MATCH($N$1,$C$112:$C$113,0)-1,0)</f>
        <v>2.9</v>
      </c>
      <c r="I28" s="33">
        <f ca="1">5.4*OFFSET(I$112,MATCH($N$1,$C$112:$C$113,0)-1,0)</f>
        <v>5.4</v>
      </c>
      <c r="J28" s="33">
        <f ca="1">16.6*OFFSET(J$112,MATCH($N$1,$C$112:$C$113,0)-1,0)</f>
        <v>16.600000000000001</v>
      </c>
      <c r="K28" s="33">
        <f ca="1">6*OFFSET(K$112,MATCH($N$1,$C$112:$C$113,0)-1,0)</f>
        <v>6</v>
      </c>
      <c r="L28" s="33">
        <f ca="1">3.8*OFFSET(L$112,MATCH($N$1,$C$112:$C$113,0)-1,0)</f>
        <v>3.8</v>
      </c>
      <c r="M28" s="33">
        <f ca="1">15.4*OFFSET(M$112,MATCH($N$1,$C$112:$C$113,0)-1,0)</f>
        <v>15.4</v>
      </c>
      <c r="N28" s="33">
        <v>7.5</v>
      </c>
      <c r="O28" s="29">
        <f t="shared" ca="1" si="0"/>
        <v>17.749999999999996</v>
      </c>
      <c r="P28" s="29">
        <f t="shared" ca="1" si="1"/>
        <v>-0.54819277108433739</v>
      </c>
    </row>
    <row r="29" spans="1:16" ht="18" customHeight="1" x14ac:dyDescent="0.2">
      <c r="A29" s="199"/>
      <c r="B29" s="42" t="s">
        <v>71</v>
      </c>
      <c r="C29" s="43"/>
      <c r="D29" s="43">
        <f ca="1">122.4*OFFSET(D$112,MATCH($N$1,$C$112:$C$113,0)-1,0)</f>
        <v>122.4</v>
      </c>
      <c r="E29" s="43">
        <f ca="1">123.5*OFFSET(E$112,MATCH($N$1,$C$112:$C$113,0)-1,0)</f>
        <v>123.5</v>
      </c>
      <c r="F29" s="43">
        <f ca="1">122.4*OFFSET(F$112,MATCH($N$1,$C$112:$C$113,0)-1,0)</f>
        <v>122.4</v>
      </c>
      <c r="G29" s="43">
        <f ca="1">133.8*OFFSET(G$112,MATCH($N$1,$C$112:$C$113,0)-1,0)</f>
        <v>133.80000000000001</v>
      </c>
      <c r="H29" s="43">
        <f ca="1">144.4*OFFSET(H$112,MATCH($N$1,$C$112:$C$113,0)-1,0)</f>
        <v>144.4</v>
      </c>
      <c r="I29" s="43">
        <f ca="1">163.1*OFFSET(I$112,MATCH($N$1,$C$112:$C$113,0)-1,0)</f>
        <v>163.1</v>
      </c>
      <c r="J29" s="43">
        <f ca="1">183.2*OFFSET(J$112,MATCH($N$1,$C$112:$C$113,0)-1,0)</f>
        <v>183.2</v>
      </c>
      <c r="K29" s="43">
        <f ca="1">191.9*OFFSET(K$112,MATCH($N$1,$C$112:$C$113,0)-1,0)</f>
        <v>191.9</v>
      </c>
      <c r="L29" s="43">
        <f ca="1">191.5*OFFSET(L$112,MATCH($N$1,$C$112:$C$113,0)-1,0)</f>
        <v>191.5</v>
      </c>
      <c r="M29" s="43">
        <f ca="1">149.4*OFFSET(M$112,MATCH($N$1,$C$112:$C$113,0)-1,0)</f>
        <v>149.4</v>
      </c>
      <c r="N29" s="43">
        <v>180.4</v>
      </c>
      <c r="O29" s="29">
        <f t="shared" ca="1" si="0"/>
        <v>0.47385620915032678</v>
      </c>
      <c r="P29" s="29">
        <f t="shared" ca="1" si="1"/>
        <v>-1.5283842794759733E-2</v>
      </c>
    </row>
    <row r="30" spans="1:16" ht="18" customHeight="1" x14ac:dyDescent="0.2">
      <c r="A30" s="199"/>
      <c r="B30" s="37" t="s">
        <v>72</v>
      </c>
      <c r="C30" s="33"/>
      <c r="D30" s="33">
        <f ca="1">14.3*OFFSET(D$112,MATCH($N$1,$C$112:$C$113,0)-1,0)</f>
        <v>14.3</v>
      </c>
      <c r="E30" s="33">
        <f ca="1">14.7*OFFSET(E$112,MATCH($N$1,$C$112:$C$113,0)-1,0)</f>
        <v>14.7</v>
      </c>
      <c r="F30" s="33">
        <f ca="1">14*OFFSET(F$112,MATCH($N$1,$C$112:$C$113,0)-1,0)</f>
        <v>14</v>
      </c>
      <c r="G30" s="33">
        <f ca="1">13.3*OFFSET(G$112,MATCH($N$1,$C$112:$C$113,0)-1,0)</f>
        <v>13.3</v>
      </c>
      <c r="H30" s="33">
        <f ca="1">9.6*OFFSET(H$112,MATCH($N$1,$C$112:$C$113,0)-1,0)</f>
        <v>9.6</v>
      </c>
      <c r="I30" s="33">
        <f ca="1">9.1*OFFSET(I$112,MATCH($N$1,$C$112:$C$113,0)-1,0)</f>
        <v>9.1</v>
      </c>
      <c r="J30" s="33">
        <f ca="1">10.4*OFFSET(J$112,MATCH($N$1,$C$112:$C$113,0)-1,0)</f>
        <v>10.4</v>
      </c>
      <c r="K30" s="33">
        <f ca="1">12.1*OFFSET(K$112,MATCH($N$1,$C$112:$C$113,0)-1,0)</f>
        <v>12.1</v>
      </c>
      <c r="L30" s="33">
        <f ca="1">12.6*OFFSET(L$112,MATCH($N$1,$C$112:$C$113,0)-1,0)</f>
        <v>12.6</v>
      </c>
      <c r="M30" s="33">
        <f ca="1">7.7*OFFSET(M$112,MATCH($N$1,$C$112:$C$113,0)-1,0)</f>
        <v>7.7</v>
      </c>
      <c r="N30" s="33">
        <v>10.200000000000001</v>
      </c>
      <c r="O30" s="29">
        <f t="shared" ca="1" si="0"/>
        <v>-0.28671328671328666</v>
      </c>
      <c r="P30" s="29">
        <f t="shared" ca="1" si="1"/>
        <v>-1.9230769230769162E-2</v>
      </c>
    </row>
    <row r="31" spans="1:16" ht="18" customHeight="1" x14ac:dyDescent="0.2">
      <c r="A31" s="199"/>
      <c r="B31" s="37" t="s">
        <v>73</v>
      </c>
      <c r="C31" s="33"/>
      <c r="D31" s="33">
        <f ca="1">32.3*OFFSET(D$112,MATCH($N$1,$C$112:$C$113,0)-1,0)</f>
        <v>32.299999999999997</v>
      </c>
      <c r="E31" s="33">
        <f ca="1">30*OFFSET(E$112,MATCH($N$1,$C$112:$C$113,0)-1,0)</f>
        <v>30</v>
      </c>
      <c r="F31" s="33">
        <f ca="1">36.7*OFFSET(F$112,MATCH($N$1,$C$112:$C$113,0)-1,0)</f>
        <v>36.700000000000003</v>
      </c>
      <c r="G31" s="33">
        <f ca="1">39.7*OFFSET(G$112,MATCH($N$1,$C$112:$C$113,0)-1,0)</f>
        <v>39.700000000000003</v>
      </c>
      <c r="H31" s="33">
        <f ca="1">39.2*OFFSET(H$112,MATCH($N$1,$C$112:$C$113,0)-1,0)</f>
        <v>39.200000000000003</v>
      </c>
      <c r="I31" s="33">
        <f ca="1">41.7*OFFSET(I$112,MATCH($N$1,$C$112:$C$113,0)-1,0)</f>
        <v>41.7</v>
      </c>
      <c r="J31" s="33">
        <f ca="1">53.9*OFFSET(J$112,MATCH($N$1,$C$112:$C$113,0)-1,0)</f>
        <v>53.9</v>
      </c>
      <c r="K31" s="33">
        <f ca="1">47*OFFSET(K$112,MATCH($N$1,$C$112:$C$113,0)-1,0)</f>
        <v>47</v>
      </c>
      <c r="L31" s="33">
        <f ca="1">52.8*OFFSET(L$112,MATCH($N$1,$C$112:$C$113,0)-1,0)</f>
        <v>52.8</v>
      </c>
      <c r="M31" s="33">
        <f ca="1">39.8*OFFSET(M$112,MATCH($N$1,$C$112:$C$113,0)-1,0)</f>
        <v>39.799999999999997</v>
      </c>
      <c r="N31" s="33">
        <v>51.2</v>
      </c>
      <c r="O31" s="29">
        <f t="shared" ca="1" si="0"/>
        <v>0.58513931888544912</v>
      </c>
      <c r="P31" s="29">
        <f t="shared" ca="1" si="1"/>
        <v>-5.0092764378478587E-2</v>
      </c>
    </row>
    <row r="32" spans="1:16" ht="18" customHeight="1" x14ac:dyDescent="0.2">
      <c r="A32" s="199"/>
      <c r="B32" s="37" t="s">
        <v>74</v>
      </c>
      <c r="C32" s="33"/>
      <c r="D32" s="33">
        <f ca="1">41.8*OFFSET(D$112,MATCH($N$1,$C$112:$C$113,0)-1,0)</f>
        <v>41.8</v>
      </c>
      <c r="E32" s="33">
        <f ca="1">19.5*OFFSET(E$112,MATCH($N$1,$C$112:$C$113,0)-1,0)</f>
        <v>19.5</v>
      </c>
      <c r="F32" s="33">
        <f ca="1">20.5*OFFSET(F$112,MATCH($N$1,$C$112:$C$113,0)-1,0)</f>
        <v>20.5</v>
      </c>
      <c r="G32" s="33">
        <f ca="1">19.1*OFFSET(G$112,MATCH($N$1,$C$112:$C$113,0)-1,0)</f>
        <v>19.100000000000001</v>
      </c>
      <c r="H32" s="33">
        <f ca="1">25*OFFSET(H$112,MATCH($N$1,$C$112:$C$113,0)-1,0)</f>
        <v>25</v>
      </c>
      <c r="I32" s="33">
        <f ca="1">33.7*OFFSET(I$112,MATCH($N$1,$C$112:$C$113,0)-1,0)</f>
        <v>33.700000000000003</v>
      </c>
      <c r="J32" s="33">
        <f ca="1">20.8*OFFSET(J$112,MATCH($N$1,$C$112:$C$113,0)-1,0)</f>
        <v>20.8</v>
      </c>
      <c r="K32" s="33">
        <f ca="1">23.4*OFFSET(K$112,MATCH($N$1,$C$112:$C$113,0)-1,0)</f>
        <v>23.4</v>
      </c>
      <c r="L32" s="33">
        <f ca="1">22.2*OFFSET(L$112,MATCH($N$1,$C$112:$C$113,0)-1,0)</f>
        <v>22.2</v>
      </c>
      <c r="M32" s="33">
        <f ca="1">17.3*OFFSET(M$112,MATCH($N$1,$C$112:$C$113,0)-1,0)</f>
        <v>17.3</v>
      </c>
      <c r="N32" s="33">
        <v>22.3</v>
      </c>
      <c r="O32" s="29">
        <f t="shared" ca="1" si="0"/>
        <v>-0.46650717703349276</v>
      </c>
      <c r="P32" s="29">
        <f t="shared" ca="1" si="1"/>
        <v>7.2115384615384609E-2</v>
      </c>
    </row>
    <row r="33" spans="1:16" ht="18" customHeight="1" x14ac:dyDescent="0.2">
      <c r="A33" s="199"/>
      <c r="B33" s="37" t="s">
        <v>75</v>
      </c>
      <c r="C33" s="33"/>
      <c r="D33" s="33">
        <f ca="1">88.4*OFFSET(D$112,MATCH($N$1,$C$112:$C$113,0)-1,0)</f>
        <v>88.4</v>
      </c>
      <c r="E33" s="33">
        <f ca="1">64.2*OFFSET(E$112,MATCH($N$1,$C$112:$C$113,0)-1,0)</f>
        <v>64.2</v>
      </c>
      <c r="F33" s="33">
        <f ca="1">71.1*OFFSET(F$112,MATCH($N$1,$C$112:$C$113,0)-1,0)</f>
        <v>71.099999999999994</v>
      </c>
      <c r="G33" s="33">
        <f ca="1">72.1*OFFSET(G$112,MATCH($N$1,$C$112:$C$113,0)-1,0)</f>
        <v>72.099999999999994</v>
      </c>
      <c r="H33" s="33">
        <f ca="1">73.8*OFFSET(H$112,MATCH($N$1,$C$112:$C$113,0)-1,0)</f>
        <v>73.8</v>
      </c>
      <c r="I33" s="33">
        <f ca="1">84.5*OFFSET(I$112,MATCH($N$1,$C$112:$C$113,0)-1,0)</f>
        <v>84.5</v>
      </c>
      <c r="J33" s="33">
        <f ca="1">85*OFFSET(J$112,MATCH($N$1,$C$112:$C$113,0)-1,0)</f>
        <v>85</v>
      </c>
      <c r="K33" s="33">
        <f ca="1">82.5*OFFSET(K$112,MATCH($N$1,$C$112:$C$113,0)-1,0)</f>
        <v>82.5</v>
      </c>
      <c r="L33" s="33">
        <f ca="1">87.5*OFFSET(L$112,MATCH($N$1,$C$112:$C$113,0)-1,0)</f>
        <v>87.5</v>
      </c>
      <c r="M33" s="33">
        <f ca="1">64.7*OFFSET(M$112,MATCH($N$1,$C$112:$C$113,0)-1,0)</f>
        <v>64.7</v>
      </c>
      <c r="N33" s="33">
        <v>83.7</v>
      </c>
      <c r="O33" s="29">
        <f t="shared" ca="1" si="0"/>
        <v>-5.3167420814479664E-2</v>
      </c>
      <c r="P33" s="29">
        <f t="shared" ca="1" si="1"/>
        <v>-1.529411764705879E-2</v>
      </c>
    </row>
    <row r="34" spans="1:16" ht="18" customHeight="1" x14ac:dyDescent="0.2">
      <c r="A34" s="199"/>
      <c r="B34" s="37" t="s">
        <v>76</v>
      </c>
      <c r="C34" s="33"/>
      <c r="D34" s="33">
        <f ca="1">17.4*OFFSET(D$112,MATCH($N$1,$C$112:$C$113,0)-1,0)</f>
        <v>17.399999999999999</v>
      </c>
      <c r="E34" s="33">
        <f ca="1">19.4*OFFSET(E$112,MATCH($N$1,$C$112:$C$113,0)-1,0)</f>
        <v>19.399999999999999</v>
      </c>
      <c r="F34" s="33">
        <f ca="1">24.4*OFFSET(F$112,MATCH($N$1,$C$112:$C$113,0)-1,0)</f>
        <v>24.4</v>
      </c>
      <c r="G34" s="33">
        <f ca="1">23.7*OFFSET(G$112,MATCH($N$1,$C$112:$C$113,0)-1,0)</f>
        <v>23.7</v>
      </c>
      <c r="H34" s="33">
        <f ca="1">21.4*OFFSET(H$112,MATCH($N$1,$C$112:$C$113,0)-1,0)</f>
        <v>21.4</v>
      </c>
      <c r="I34" s="33">
        <f ca="1">25*OFFSET(I$112,MATCH($N$1,$C$112:$C$113,0)-1,0)</f>
        <v>25</v>
      </c>
      <c r="J34" s="33">
        <f ca="1">34*OFFSET(J$112,MATCH($N$1,$C$112:$C$113,0)-1,0)</f>
        <v>34</v>
      </c>
      <c r="K34" s="33">
        <f ca="1">40.5*OFFSET(K$112,MATCH($N$1,$C$112:$C$113,0)-1,0)</f>
        <v>40.5</v>
      </c>
      <c r="L34" s="33">
        <f ca="1">40.1*OFFSET(L$112,MATCH($N$1,$C$112:$C$113,0)-1,0)</f>
        <v>40.1</v>
      </c>
      <c r="M34" s="33">
        <f ca="1">39.9*OFFSET(M$112,MATCH($N$1,$C$112:$C$113,0)-1,0)</f>
        <v>39.9</v>
      </c>
      <c r="N34" s="33">
        <v>40.300000000000004</v>
      </c>
      <c r="O34" s="29">
        <f t="shared" ca="1" si="0"/>
        <v>1.316091954022989</v>
      </c>
      <c r="P34" s="29">
        <f t="shared" ca="1" si="1"/>
        <v>0.18529411764705894</v>
      </c>
    </row>
    <row r="35" spans="1:16" ht="18" customHeight="1" x14ac:dyDescent="0.2">
      <c r="A35" s="199"/>
      <c r="B35" s="37" t="s">
        <v>77</v>
      </c>
      <c r="C35" s="33"/>
      <c r="D35" s="33">
        <f ca="1">105.8*OFFSET(D$112,MATCH($N$1,$C$112:$C$113,0)-1,0)</f>
        <v>105.8</v>
      </c>
      <c r="E35" s="33">
        <f ca="1">83.6*OFFSET(E$112,MATCH($N$1,$C$112:$C$113,0)-1,0)</f>
        <v>83.6</v>
      </c>
      <c r="F35" s="33">
        <f ca="1">95.5*OFFSET(F$112,MATCH($N$1,$C$112:$C$113,0)-1,0)</f>
        <v>95.5</v>
      </c>
      <c r="G35" s="33">
        <f ca="1">95.9*OFFSET(G$112,MATCH($N$1,$C$112:$C$113,0)-1,0)</f>
        <v>95.9</v>
      </c>
      <c r="H35" s="33">
        <f ca="1">95.2*OFFSET(H$112,MATCH($N$1,$C$112:$C$113,0)-1,0)</f>
        <v>95.2</v>
      </c>
      <c r="I35" s="33">
        <f ca="1">109.5*OFFSET(I$112,MATCH($N$1,$C$112:$C$113,0)-1,0)</f>
        <v>109.5</v>
      </c>
      <c r="J35" s="33">
        <f ca="1">119*OFFSET(J$112,MATCH($N$1,$C$112:$C$113,0)-1,0)</f>
        <v>119</v>
      </c>
      <c r="K35" s="33">
        <f ca="1">123*OFFSET(K$112,MATCH($N$1,$C$112:$C$113,0)-1,0)</f>
        <v>123</v>
      </c>
      <c r="L35" s="33">
        <f ca="1">127.6*OFFSET(L$112,MATCH($N$1,$C$112:$C$113,0)-1,0)</f>
        <v>127.6</v>
      </c>
      <c r="M35" s="33">
        <f ca="1">104.6*OFFSET(M$112,MATCH($N$1,$C$112:$C$113,0)-1,0)</f>
        <v>104.6</v>
      </c>
      <c r="N35" s="33">
        <v>124</v>
      </c>
      <c r="O35" s="29">
        <f t="shared" ca="1" si="0"/>
        <v>0.17202268431001894</v>
      </c>
      <c r="P35" s="29">
        <f t="shared" ca="1" si="1"/>
        <v>4.2016806722689079E-2</v>
      </c>
    </row>
    <row r="36" spans="1:16" ht="18" customHeight="1" x14ac:dyDescent="0.2">
      <c r="A36" s="199"/>
      <c r="B36" s="42" t="s">
        <v>78</v>
      </c>
      <c r="C36" s="43"/>
      <c r="D36" s="43">
        <f ca="1">48.9*OFFSET(D$112,MATCH($N$1,$C$112:$C$113,0)-1,0)</f>
        <v>48.9</v>
      </c>
      <c r="E36" s="43">
        <f ca="1">69.9*OFFSET(E$112,MATCH($N$1,$C$112:$C$113,0)-1,0)</f>
        <v>69.900000000000006</v>
      </c>
      <c r="F36" s="43">
        <f ca="1">63.6*OFFSET(F$112,MATCH($N$1,$C$112:$C$113,0)-1,0)</f>
        <v>63.6</v>
      </c>
      <c r="G36" s="43">
        <f ca="1">77.6*OFFSET(G$112,MATCH($N$1,$C$112:$C$113,0)-1,0)</f>
        <v>77.599999999999994</v>
      </c>
      <c r="H36" s="43">
        <f ca="1">88.4*OFFSET(H$112,MATCH($N$1,$C$112:$C$113,0)-1,0)</f>
        <v>88.4</v>
      </c>
      <c r="I36" s="43">
        <f ca="1">95.3*OFFSET(I$112,MATCH($N$1,$C$112:$C$113,0)-1,0)</f>
        <v>95.3</v>
      </c>
      <c r="J36" s="43">
        <f ca="1">118.1*OFFSET(J$112,MATCH($N$1,$C$112:$C$113,0)-1,0)</f>
        <v>118.1</v>
      </c>
      <c r="K36" s="43">
        <f ca="1">115.9*OFFSET(K$112,MATCH($N$1,$C$112:$C$113,0)-1,0)</f>
        <v>115.9</v>
      </c>
      <c r="L36" s="43">
        <f ca="1">116.7*OFFSET(L$112,MATCH($N$1,$C$112:$C$113,0)-1,0)</f>
        <v>116.7</v>
      </c>
      <c r="M36" s="43">
        <f ca="1">84.6*OFFSET(M$112,MATCH($N$1,$C$112:$C$113,0)-1,0)</f>
        <v>84.6</v>
      </c>
      <c r="N36" s="43">
        <v>107.6</v>
      </c>
      <c r="O36" s="29">
        <f t="shared" ca="1" si="0"/>
        <v>1.2004089979550101</v>
      </c>
      <c r="P36" s="29">
        <f t="shared" ca="1" si="1"/>
        <v>-8.8907705334462322E-2</v>
      </c>
    </row>
    <row r="37" spans="1:16" ht="18" customHeight="1" x14ac:dyDescent="0.2">
      <c r="A37" s="199"/>
      <c r="B37" s="42" t="s">
        <v>79</v>
      </c>
      <c r="C37" s="43"/>
      <c r="D37" s="43">
        <f ca="1">16.6*OFFSET(D$112,MATCH($N$1,$C$112:$C$113,0)-1,0)</f>
        <v>16.600000000000001</v>
      </c>
      <c r="E37" s="43">
        <f ca="1">39.9*OFFSET(E$112,MATCH($N$1,$C$112:$C$113,0)-1,0)</f>
        <v>39.9</v>
      </c>
      <c r="F37" s="43">
        <f ca="1">26.9*OFFSET(F$112,MATCH($N$1,$C$112:$C$113,0)-1,0)</f>
        <v>26.9</v>
      </c>
      <c r="G37" s="43">
        <f ca="1">37.9*OFFSET(G$112,MATCH($N$1,$C$112:$C$113,0)-1,0)</f>
        <v>37.9</v>
      </c>
      <c r="H37" s="43">
        <f ca="1">49.2*OFFSET(H$112,MATCH($N$1,$C$112:$C$113,0)-1,0)</f>
        <v>49.2</v>
      </c>
      <c r="I37" s="43">
        <f ca="1">53.6*OFFSET(I$112,MATCH($N$1,$C$112:$C$113,0)-1,0)</f>
        <v>53.6</v>
      </c>
      <c r="J37" s="43">
        <f ca="1">64.2*OFFSET(J$112,MATCH($N$1,$C$112:$C$113,0)-1,0)</f>
        <v>64.2</v>
      </c>
      <c r="K37" s="43">
        <f ca="1">68.9*OFFSET(K$112,MATCH($N$1,$C$112:$C$113,0)-1,0)</f>
        <v>68.900000000000006</v>
      </c>
      <c r="L37" s="43">
        <f ca="1">63.9*OFFSET(L$112,MATCH($N$1,$C$112:$C$113,0)-1,0)</f>
        <v>63.9</v>
      </c>
      <c r="M37" s="43">
        <f ca="1">44.8*OFFSET(M$112,MATCH($N$1,$C$112:$C$113,0)-1,0)</f>
        <v>44.8</v>
      </c>
      <c r="N37" s="43">
        <v>56.4</v>
      </c>
      <c r="O37" s="29">
        <f t="shared" ca="1" si="0"/>
        <v>2.3975903614457827</v>
      </c>
      <c r="P37" s="29">
        <f t="shared" ca="1" si="1"/>
        <v>-0.12149532710280379</v>
      </c>
    </row>
    <row r="38" spans="1:16" ht="18" customHeight="1" x14ac:dyDescent="0.2">
      <c r="A38" s="199"/>
      <c r="B38" s="37" t="s">
        <v>80</v>
      </c>
      <c r="C38" s="33"/>
      <c r="D38" s="33">
        <f ca="1">4.7*OFFSET(D$112,MATCH($N$1,$C$112:$C$113,0)-1,0)</f>
        <v>4.7</v>
      </c>
      <c r="E38" s="33">
        <f ca="1">6.4*OFFSET(E$112,MATCH($N$1,$C$112:$C$113,0)-1,0)</f>
        <v>6.4</v>
      </c>
      <c r="F38" s="33">
        <f ca="1">9.2*OFFSET(F$112,MATCH($N$1,$C$112:$C$113,0)-1,0)</f>
        <v>9.1999999999999993</v>
      </c>
      <c r="G38" s="33">
        <f ca="1">9.7*OFFSET(G$112,MATCH($N$1,$C$112:$C$113,0)-1,0)</f>
        <v>9.6999999999999993</v>
      </c>
      <c r="H38" s="33">
        <f ca="1">9.5*OFFSET(H$112,MATCH($N$1,$C$112:$C$113,0)-1,0)</f>
        <v>9.5</v>
      </c>
      <c r="I38" s="33">
        <f ca="1">9.4*OFFSET(I$112,MATCH($N$1,$C$112:$C$113,0)-1,0)</f>
        <v>9.4</v>
      </c>
      <c r="J38" s="33">
        <f ca="1">13.3*OFFSET(J$112,MATCH($N$1,$C$112:$C$113,0)-1,0)</f>
        <v>13.3</v>
      </c>
      <c r="K38" s="33">
        <f ca="1">11.7*OFFSET(K$112,MATCH($N$1,$C$112:$C$113,0)-1,0)</f>
        <v>11.7</v>
      </c>
      <c r="L38" s="33">
        <f ca="1">16.5*OFFSET(L$112,MATCH($N$1,$C$112:$C$113,0)-1,0)</f>
        <v>16.5</v>
      </c>
      <c r="M38" s="33">
        <f ca="1">15.9*OFFSET(M$112,MATCH($N$1,$C$112:$C$113,0)-1,0)</f>
        <v>15.9</v>
      </c>
      <c r="N38" s="33"/>
      <c r="O38" s="29" t="str">
        <f t="shared" si="0"/>
        <v/>
      </c>
      <c r="P38" s="29" t="str">
        <f t="shared" si="1"/>
        <v/>
      </c>
    </row>
    <row r="39" spans="1:16" ht="18" customHeight="1" x14ac:dyDescent="0.2">
      <c r="A39" s="199"/>
      <c r="B39" s="37" t="s">
        <v>81</v>
      </c>
      <c r="C39" s="33"/>
      <c r="D39" s="33">
        <f ca="1">1*OFFSET(D$112,MATCH($N$1,$C$112:$C$113,0)-1,0)</f>
        <v>1</v>
      </c>
      <c r="E39" s="33">
        <f ca="1">0.9*OFFSET(E$112,MATCH($N$1,$C$112:$C$113,0)-1,0)</f>
        <v>0.9</v>
      </c>
      <c r="F39" s="33">
        <f ca="1">1*OFFSET(F$112,MATCH($N$1,$C$112:$C$113,0)-1,0)</f>
        <v>1</v>
      </c>
      <c r="G39" s="33">
        <f ca="1">0.5*OFFSET(G$112,MATCH($N$1,$C$112:$C$113,0)-1,0)</f>
        <v>0.5</v>
      </c>
      <c r="H39" s="33">
        <f ca="1">0.8*OFFSET(H$112,MATCH($N$1,$C$112:$C$113,0)-1,0)</f>
        <v>0.8</v>
      </c>
      <c r="I39" s="33">
        <f ca="1">1.5*OFFSET(I$112,MATCH($N$1,$C$112:$C$113,0)-1,0)</f>
        <v>1.5</v>
      </c>
      <c r="J39" s="33">
        <f ca="1">2*OFFSET(J$112,MATCH($N$1,$C$112:$C$113,0)-1,0)</f>
        <v>2</v>
      </c>
      <c r="K39" s="33">
        <f ca="1">2.3*OFFSET(K$112,MATCH($N$1,$C$112:$C$113,0)-1,0)</f>
        <v>2.2999999999999998</v>
      </c>
      <c r="L39" s="33">
        <f ca="1">2*OFFSET(L$112,MATCH($N$1,$C$112:$C$113,0)-1,0)</f>
        <v>2</v>
      </c>
      <c r="M39" s="33">
        <f ca="1">0.9*OFFSET(M$112,MATCH($N$1,$C$112:$C$113,0)-1,0)</f>
        <v>0.9</v>
      </c>
      <c r="N39" s="33"/>
      <c r="O39" s="29" t="str">
        <f t="shared" si="0"/>
        <v/>
      </c>
      <c r="P39" s="29" t="str">
        <f t="shared" si="1"/>
        <v/>
      </c>
    </row>
    <row r="40" spans="1:16" ht="18" customHeight="1" x14ac:dyDescent="0.2">
      <c r="A40" s="199"/>
      <c r="B40" s="37" t="s">
        <v>82</v>
      </c>
      <c r="C40" s="33"/>
      <c r="D40" s="33">
        <f ca="1">0.4*OFFSET(D$112,MATCH($N$1,$C$112:$C$113,0)-1,0)</f>
        <v>0.4</v>
      </c>
      <c r="E40" s="33">
        <f ca="1">0.4*OFFSET(E$112,MATCH($N$1,$C$112:$C$113,0)-1,0)</f>
        <v>0.4</v>
      </c>
      <c r="F40" s="33">
        <f ca="1">0.4*OFFSET(F$112,MATCH($N$1,$C$112:$C$113,0)-1,0)</f>
        <v>0.4</v>
      </c>
      <c r="G40" s="33">
        <f ca="1">0.8*OFFSET(G$112,MATCH($N$1,$C$112:$C$113,0)-1,0)</f>
        <v>0.8</v>
      </c>
      <c r="H40" s="33">
        <f ca="1">0.6*OFFSET(H$112,MATCH($N$1,$C$112:$C$113,0)-1,0)</f>
        <v>0.6</v>
      </c>
      <c r="I40" s="33">
        <f ca="1">1.1*OFFSET(I$112,MATCH($N$1,$C$112:$C$113,0)-1,0)</f>
        <v>1.1000000000000001</v>
      </c>
      <c r="J40" s="33">
        <f ca="1">1.9*OFFSET(J$112,MATCH($N$1,$C$112:$C$113,0)-1,0)</f>
        <v>1.9</v>
      </c>
      <c r="K40" s="33">
        <f ca="1">3*OFFSET(K$112,MATCH($N$1,$C$112:$C$113,0)-1,0)</f>
        <v>3</v>
      </c>
      <c r="L40" s="33">
        <f ca="1">1.8*OFFSET(L$112,MATCH($N$1,$C$112:$C$113,0)-1,0)</f>
        <v>1.8</v>
      </c>
      <c r="M40" s="33">
        <f ca="1">1.3*OFFSET(M$112,MATCH($N$1,$C$112:$C$113,0)-1,0)</f>
        <v>1.3</v>
      </c>
      <c r="N40" s="33"/>
      <c r="O40" s="29" t="str">
        <f t="shared" si="0"/>
        <v/>
      </c>
      <c r="P40" s="29" t="str">
        <f t="shared" si="1"/>
        <v/>
      </c>
    </row>
    <row r="41" spans="1:16" ht="18" customHeight="1" thickBot="1" x14ac:dyDescent="0.25">
      <c r="A41" s="200"/>
      <c r="B41" s="44" t="s">
        <v>83</v>
      </c>
      <c r="C41" s="45"/>
      <c r="D41" s="45">
        <f ca="1">10.4*OFFSET(D$112,MATCH($N$1,$C$112:$C$113,0)-1,0)</f>
        <v>10.4</v>
      </c>
      <c r="E41" s="45">
        <f ca="1">32.2*OFFSET(E$112,MATCH($N$1,$C$112:$C$113,0)-1,0)</f>
        <v>32.200000000000003</v>
      </c>
      <c r="F41" s="45">
        <f ca="1">16.3*OFFSET(F$112,MATCH($N$1,$C$112:$C$113,0)-1,0)</f>
        <v>16.3</v>
      </c>
      <c r="G41" s="45">
        <f ca="1">26.9*OFFSET(G$112,MATCH($N$1,$C$112:$C$113,0)-1,0)</f>
        <v>26.9</v>
      </c>
      <c r="H41" s="45">
        <f ca="1">38.3*OFFSET(H$112,MATCH($N$1,$C$112:$C$113,0)-1,0)</f>
        <v>38.299999999999997</v>
      </c>
      <c r="I41" s="45">
        <f ca="1">41.6*OFFSET(I$112,MATCH($N$1,$C$112:$C$113,0)-1,0)</f>
        <v>41.6</v>
      </c>
      <c r="J41" s="45">
        <f ca="1">47*OFFSET(J$112,MATCH($N$1,$C$112:$C$113,0)-1,0)</f>
        <v>47</v>
      </c>
      <c r="K41" s="45">
        <f ca="1">51.9*OFFSET(K$112,MATCH($N$1,$C$112:$C$113,0)-1,0)</f>
        <v>51.9</v>
      </c>
      <c r="L41" s="45">
        <f ca="1">43.6*OFFSET(L$112,MATCH($N$1,$C$112:$C$113,0)-1,0)</f>
        <v>43.6</v>
      </c>
      <c r="M41" s="45">
        <f ca="1">17.1*OFFSET(M$112,MATCH($N$1,$C$112:$C$113,0)-1,0)</f>
        <v>17.100000000000001</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22</v>
      </c>
      <c r="F46" s="94" t="s">
        <v>130</v>
      </c>
      <c r="G46" s="94" t="s">
        <v>130</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Pots and traps 10-12m</v>
      </c>
      <c r="C48" s="96"/>
      <c r="D48" s="96"/>
      <c r="E48" s="96"/>
      <c r="F48" s="96"/>
      <c r="G48" s="96"/>
      <c r="K48" s="96" t="str">
        <f>$B24&amp;CHAR(10)&amp;$A$1</f>
        <v>Operating profit per kW day at sea (£)
Pots and traps 10-12m</v>
      </c>
    </row>
    <row r="49" spans="1:11" s="82" customFormat="1" x14ac:dyDescent="0.2">
      <c r="A49" s="96" t="str">
        <f>$B22&amp;CHAR(10)&amp;$A$1</f>
        <v>Fishing income per kW day at sea (£)
Pots and traps 10-12m</v>
      </c>
    </row>
    <row r="50" spans="1:11" s="82" customFormat="1" x14ac:dyDescent="0.2">
      <c r="A50" s="96" t="str">
        <f>$B20&amp;CHAR(10)&amp;$A$1</f>
        <v>Average price per tonne landed (£)
Pots and traps 10-12m</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Pots and traps 10-12m</v>
      </c>
      <c r="F62" s="96" t="str">
        <f>$B20&amp;CHAR(10)&amp;$A$1</f>
        <v>Average price per tonne landed (£)
Pots and traps 10-12m</v>
      </c>
      <c r="K62" s="96" t="str">
        <f>"Average annual operating profit per vessel (£'000)"&amp;CHAR(10)&amp;$A$1</f>
        <v>Average annual operating profit per vessel (£'000)
Pots and traps 10-12m</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Pots and traps 10-12m</v>
      </c>
      <c r="F76" s="96" t="str">
        <f>"Top 5 landed species by value in "&amp;A77&amp;CHAR(10)&amp;A1</f>
        <v>Top 5 landed species by value in 2020
Pots and traps 10-12m</v>
      </c>
    </row>
    <row r="77" spans="1:11" s="96" customFormat="1" x14ac:dyDescent="0.2">
      <c r="A77" s="96">
        <v>2020</v>
      </c>
      <c r="B77" s="96" t="s">
        <v>381</v>
      </c>
      <c r="C77" s="97">
        <v>0.44640558396766461</v>
      </c>
      <c r="D77" s="98">
        <v>3050596</v>
      </c>
      <c r="G77" s="96" t="s">
        <v>382</v>
      </c>
      <c r="H77" s="97">
        <v>0.30999200591840764</v>
      </c>
      <c r="I77" s="98">
        <v>12153634</v>
      </c>
      <c r="K77" s="96" t="s">
        <v>87</v>
      </c>
    </row>
    <row r="78" spans="1:11" s="96" customFormat="1" x14ac:dyDescent="0.2">
      <c r="B78" s="96" t="s">
        <v>383</v>
      </c>
      <c r="C78" s="97">
        <v>0.37607143994616793</v>
      </c>
      <c r="D78" s="98">
        <v>553960</v>
      </c>
      <c r="G78" s="96" t="s">
        <v>384</v>
      </c>
      <c r="H78" s="97">
        <v>0.24772239615585587</v>
      </c>
      <c r="I78" s="98">
        <v>553960</v>
      </c>
    </row>
    <row r="79" spans="1:11" s="96" customFormat="1" x14ac:dyDescent="0.2">
      <c r="B79" s="96" t="s">
        <v>385</v>
      </c>
      <c r="C79" s="97">
        <v>6.4843469589480979E-2</v>
      </c>
      <c r="D79" s="98">
        <v>12153634</v>
      </c>
      <c r="G79" s="96" t="s">
        <v>386</v>
      </c>
      <c r="H79" s="97">
        <v>0.19407700427962932</v>
      </c>
      <c r="I79" s="98">
        <v>3050596</v>
      </c>
    </row>
    <row r="80" spans="1:11" s="96" customFormat="1" x14ac:dyDescent="0.2">
      <c r="B80" s="96" t="s">
        <v>387</v>
      </c>
      <c r="C80" s="97">
        <v>5.0192237028368211E-2</v>
      </c>
      <c r="D80" s="98">
        <v>1692097</v>
      </c>
      <c r="G80" s="96" t="s">
        <v>388</v>
      </c>
      <c r="H80" s="97">
        <v>0.17711220644711514</v>
      </c>
      <c r="I80" s="98">
        <v>1692097</v>
      </c>
    </row>
    <row r="81" spans="1:19" s="96" customFormat="1" x14ac:dyDescent="0.2">
      <c r="B81" s="96" t="s">
        <v>389</v>
      </c>
      <c r="C81" s="97">
        <v>2.7451709814522048E-2</v>
      </c>
      <c r="D81" s="98">
        <v>3689192</v>
      </c>
      <c r="G81" s="96" t="s">
        <v>390</v>
      </c>
      <c r="H81" s="97">
        <v>2.5886595238207178E-2</v>
      </c>
      <c r="I81" s="98">
        <v>3689192</v>
      </c>
    </row>
    <row r="82" spans="1:19" s="96" customFormat="1" x14ac:dyDescent="0.2">
      <c r="B82" s="96" t="s">
        <v>391</v>
      </c>
      <c r="C82" s="97">
        <v>3.5035559653796233E-2</v>
      </c>
      <c r="D82" s="98">
        <v>5920853</v>
      </c>
      <c r="G82" s="96" t="s">
        <v>392</v>
      </c>
      <c r="H82" s="97">
        <v>4.5209791960784895E-2</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245</v>
      </c>
      <c r="D92" s="102">
        <v>0.28905276002618618</v>
      </c>
      <c r="E92" s="102">
        <v>0.29055980856990427</v>
      </c>
      <c r="F92" s="102">
        <v>0.2786689503545382</v>
      </c>
      <c r="G92" s="102">
        <v>0.28195074395456021</v>
      </c>
      <c r="H92" s="102">
        <v>0.27612524046021036</v>
      </c>
      <c r="I92" s="102">
        <v>0.28881057966249024</v>
      </c>
      <c r="J92" s="102">
        <v>0.27653088037495915</v>
      </c>
      <c r="K92" s="102">
        <v>0.27482878762667445</v>
      </c>
      <c r="L92" s="102">
        <v>0.30999200591840764</v>
      </c>
      <c r="M92" s="102">
        <v>0.29282105553903087</v>
      </c>
      <c r="O92" s="96">
        <v>12153634</v>
      </c>
    </row>
    <row r="93" spans="1:19" s="96" customFormat="1" hidden="1" x14ac:dyDescent="0.2">
      <c r="B93" s="96">
        <v>2</v>
      </c>
      <c r="C93" s="96" t="s">
        <v>104</v>
      </c>
      <c r="D93" s="102">
        <v>0.30345682435653804</v>
      </c>
      <c r="E93" s="102">
        <v>0.27963510888633242</v>
      </c>
      <c r="F93" s="102">
        <v>0.29534193075888704</v>
      </c>
      <c r="G93" s="102">
        <v>0.2392915715756935</v>
      </c>
      <c r="H93" s="102">
        <v>0.26074197936443627</v>
      </c>
      <c r="I93" s="102">
        <v>0.28664376251781215</v>
      </c>
      <c r="J93" s="102">
        <v>0.35610866888787479</v>
      </c>
      <c r="K93" s="102">
        <v>0.35678706780609304</v>
      </c>
      <c r="L93" s="102">
        <v>0.24772239615585587</v>
      </c>
      <c r="M93" s="102">
        <v>0.32288646487797007</v>
      </c>
      <c r="O93" s="96">
        <v>553960</v>
      </c>
    </row>
    <row r="94" spans="1:19" s="96" customFormat="1" hidden="1" x14ac:dyDescent="0.2">
      <c r="B94" s="96">
        <v>3</v>
      </c>
      <c r="C94" s="96" t="s">
        <v>248</v>
      </c>
      <c r="D94" s="102">
        <v>0.10513912221833092</v>
      </c>
      <c r="E94" s="102">
        <v>0.12550659003101039</v>
      </c>
      <c r="F94" s="102">
        <v>0.14715178025286124</v>
      </c>
      <c r="G94" s="102">
        <v>0.18638991569836347</v>
      </c>
      <c r="H94" s="102">
        <v>0.21150720237268913</v>
      </c>
      <c r="I94" s="102">
        <v>0.1886334457914583</v>
      </c>
      <c r="J94" s="102">
        <v>0.15683679034065331</v>
      </c>
      <c r="K94" s="102">
        <v>0.12919020204753781</v>
      </c>
      <c r="L94" s="102">
        <v>0.19407700427962932</v>
      </c>
      <c r="M94" s="102">
        <v>0.12371208921002232</v>
      </c>
      <c r="O94" s="96">
        <v>3050596</v>
      </c>
    </row>
    <row r="95" spans="1:19" s="96" customFormat="1" hidden="1" x14ac:dyDescent="0.2">
      <c r="B95" s="96">
        <v>4</v>
      </c>
      <c r="C95" s="96" t="s">
        <v>102</v>
      </c>
      <c r="D95" s="102">
        <v>0.21573275756796764</v>
      </c>
      <c r="E95" s="102">
        <v>0.22001879956252138</v>
      </c>
      <c r="F95" s="102">
        <v>0.20124406961519797</v>
      </c>
      <c r="G95" s="102">
        <v>0.22509449096632383</v>
      </c>
      <c r="H95" s="102">
        <v>0.18852501413519521</v>
      </c>
      <c r="I95" s="102">
        <v>0.17690576274987524</v>
      </c>
      <c r="J95" s="102">
        <v>0.15963989594755146</v>
      </c>
      <c r="K95" s="102">
        <v>0.17451126627235675</v>
      </c>
      <c r="L95" s="102">
        <v>0.17711220644711514</v>
      </c>
      <c r="M95" s="102">
        <v>0.18804244864148845</v>
      </c>
      <c r="O95" s="96">
        <v>1692097</v>
      </c>
    </row>
    <row r="96" spans="1:19" s="96" customFormat="1" hidden="1" x14ac:dyDescent="0.2">
      <c r="B96" s="96">
        <v>5</v>
      </c>
      <c r="C96" s="96" t="s">
        <v>249</v>
      </c>
      <c r="D96" s="102">
        <v>4.172902261504241E-2</v>
      </c>
      <c r="E96" s="102">
        <v>4.2673539086851703E-2</v>
      </c>
      <c r="F96" s="102">
        <v>4.241261186742562E-2</v>
      </c>
      <c r="G96" s="102">
        <v>3.9869304856334088E-2</v>
      </c>
      <c r="H96" s="102">
        <v>2.9449429593776548E-2</v>
      </c>
      <c r="I96" s="102">
        <v>2.7005484016674696E-2</v>
      </c>
      <c r="J96" s="102">
        <v>1.7046427841617192E-2</v>
      </c>
      <c r="K96" s="102">
        <v>2.1116294173586448E-2</v>
      </c>
      <c r="L96" s="102">
        <v>2.5886595238207178E-2</v>
      </c>
      <c r="M96" s="102">
        <v>2.7157160961187376E-2</v>
      </c>
      <c r="O96" s="96">
        <v>3689192</v>
      </c>
    </row>
    <row r="97" spans="1:15" s="96" customFormat="1" hidden="1" x14ac:dyDescent="0.2">
      <c r="B97" s="96">
        <v>6</v>
      </c>
      <c r="C97" s="96" t="s">
        <v>107</v>
      </c>
      <c r="D97" s="102">
        <v>4.4889513215934845E-2</v>
      </c>
      <c r="E97" s="102">
        <v>4.1606153863379867E-2</v>
      </c>
      <c r="F97" s="102">
        <v>3.5180657151089902E-2</v>
      </c>
      <c r="G97" s="102">
        <v>2.7403972948724899E-2</v>
      </c>
      <c r="H97" s="102">
        <v>3.3651134073692426E-2</v>
      </c>
      <c r="I97" s="102">
        <v>3.2000965261689371E-2</v>
      </c>
      <c r="J97" s="102">
        <v>3.3837336607344094E-2</v>
      </c>
      <c r="K97" s="102">
        <v>4.3566382073751513E-2</v>
      </c>
      <c r="L97" s="102">
        <v>4.520979196078484E-2</v>
      </c>
      <c r="M97" s="102">
        <v>4.5380780770300909E-2</v>
      </c>
      <c r="O97" s="96">
        <v>5920853</v>
      </c>
    </row>
    <row r="98" spans="1:15" s="96" customFormat="1" hidden="1" x14ac:dyDescent="0.2">
      <c r="B98" s="96">
        <v>7</v>
      </c>
      <c r="D98" s="102"/>
      <c r="E98" s="102"/>
      <c r="F98" s="102"/>
      <c r="G98" s="102"/>
      <c r="H98" s="102"/>
      <c r="I98" s="102"/>
      <c r="J98" s="102"/>
      <c r="K98" s="102"/>
      <c r="L98" s="102"/>
      <c r="M98" s="102"/>
      <c r="O98" s="96">
        <v>2480382</v>
      </c>
    </row>
    <row r="99" spans="1:15" s="96" customFormat="1" hidden="1" x14ac:dyDescent="0.2">
      <c r="B99" s="96">
        <v>8</v>
      </c>
      <c r="D99" s="102"/>
      <c r="E99" s="102"/>
      <c r="F99" s="102"/>
      <c r="G99" s="102"/>
      <c r="H99" s="102"/>
      <c r="I99" s="102"/>
      <c r="J99" s="102"/>
      <c r="K99" s="102"/>
      <c r="L99" s="102"/>
      <c r="M99" s="102"/>
      <c r="O99" s="96">
        <v>7434864</v>
      </c>
    </row>
    <row r="100" spans="1:15" s="96" customFormat="1" hidden="1" x14ac:dyDescent="0.2">
      <c r="B100" s="96">
        <v>9</v>
      </c>
      <c r="D100" s="102"/>
      <c r="E100" s="102"/>
      <c r="F100" s="102"/>
      <c r="G100" s="102"/>
      <c r="H100" s="102"/>
      <c r="I100" s="102"/>
      <c r="J100" s="102"/>
      <c r="K100" s="102"/>
      <c r="L100" s="102"/>
      <c r="M100" s="102"/>
      <c r="O100" s="96">
        <v>8497745</v>
      </c>
    </row>
    <row r="101" spans="1:15" s="96" customFormat="1" hidden="1" x14ac:dyDescent="0.2">
      <c r="B101" s="96">
        <v>10</v>
      </c>
      <c r="D101" s="102"/>
      <c r="E101" s="102"/>
      <c r="F101" s="102"/>
      <c r="G101" s="102"/>
      <c r="H101" s="102"/>
      <c r="I101" s="102"/>
      <c r="J101" s="102"/>
      <c r="K101" s="102"/>
      <c r="L101" s="102"/>
      <c r="M101" s="102"/>
      <c r="O101" s="96">
        <v>14393110</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7</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45</v>
      </c>
      <c r="D120" s="56">
        <v>91</v>
      </c>
      <c r="E120" s="56">
        <v>45</v>
      </c>
      <c r="F120" s="57">
        <v>178</v>
      </c>
    </row>
    <row r="121" spans="1:15" ht="18" customHeight="1" x14ac:dyDescent="0.2">
      <c r="A121" s="194" t="s">
        <v>27</v>
      </c>
      <c r="B121" s="35" t="s">
        <v>62</v>
      </c>
      <c r="C121" s="58">
        <v>11.151777267456055</v>
      </c>
      <c r="D121" s="58">
        <v>11.239120913075876</v>
      </c>
      <c r="E121" s="58">
        <v>11.159555435180664</v>
      </c>
      <c r="F121" s="59">
        <v>11.225505828857422</v>
      </c>
    </row>
    <row r="122" spans="1:15" ht="18" customHeight="1" x14ac:dyDescent="0.2">
      <c r="A122" s="195"/>
      <c r="B122" s="37" t="s">
        <v>55</v>
      </c>
      <c r="C122" s="60">
        <v>130.42222595214844</v>
      </c>
      <c r="D122" s="60">
        <v>144.89011223761591</v>
      </c>
      <c r="E122" s="60">
        <v>138.71110534667969</v>
      </c>
      <c r="F122" s="61">
        <v>143.95506286621094</v>
      </c>
    </row>
    <row r="123" spans="1:15" ht="18" customHeight="1" x14ac:dyDescent="0.2">
      <c r="A123" s="195"/>
      <c r="B123" s="37" t="s">
        <v>56</v>
      </c>
      <c r="C123" s="60">
        <v>13.422222137451172</v>
      </c>
      <c r="D123" s="60">
        <v>12.49450521154718</v>
      </c>
      <c r="E123" s="60">
        <v>11.488888740539551</v>
      </c>
      <c r="F123" s="61">
        <v>12.792135238647461</v>
      </c>
    </row>
    <row r="124" spans="1:15" ht="18" customHeight="1" x14ac:dyDescent="0.2">
      <c r="A124" s="195"/>
      <c r="B124" s="37" t="s">
        <v>57</v>
      </c>
      <c r="C124" s="60">
        <v>105.34063720703125</v>
      </c>
      <c r="D124" s="60">
        <v>112.60044751848493</v>
      </c>
      <c r="E124" s="60">
        <v>106.46147918701172</v>
      </c>
      <c r="F124" s="61">
        <v>111.04090881347656</v>
      </c>
    </row>
    <row r="125" spans="1:15" ht="18" customHeight="1" x14ac:dyDescent="0.2">
      <c r="A125" s="195"/>
      <c r="B125" s="37" t="s">
        <v>58</v>
      </c>
      <c r="C125" s="33">
        <v>86.626510620117188</v>
      </c>
      <c r="D125" s="33">
        <v>56.055851527622771</v>
      </c>
      <c r="E125" s="33">
        <v>24.768396377563477</v>
      </c>
      <c r="F125" s="62">
        <v>48.576885223388672</v>
      </c>
    </row>
    <row r="126" spans="1:15" ht="18" customHeight="1" x14ac:dyDescent="0.2">
      <c r="A126" s="195"/>
      <c r="B126" s="37" t="s">
        <v>63</v>
      </c>
      <c r="C126" s="33">
        <f ca="1">295.19028125*OFFSET($L$112,MATCH($N$1,$C$112:$C$113,0)-1,0)</f>
        <v>295.19028125</v>
      </c>
      <c r="D126" s="33">
        <f ca="1">185.119958962912*OFFSET($L$112,MATCH($N$1,$C$112:$C$113,0)-1,0)</f>
        <v>185.11995896291199</v>
      </c>
      <c r="E126" s="33">
        <f ca="1">85.5387109375*OFFSET($L$112,MATCH($N$1,$C$112:$C$113,0)-1,0)</f>
        <v>85.538710937499999</v>
      </c>
      <c r="F126" s="62">
        <f ca="1">133.94203125*OFFSET($L$112,MATCH($N$1,$C$112:$C$113,0)-1,0)</f>
        <v>133.94203125000001</v>
      </c>
    </row>
    <row r="127" spans="1:15" ht="18" customHeight="1" x14ac:dyDescent="0.2">
      <c r="A127" s="195"/>
      <c r="B127" s="37" t="s">
        <v>60</v>
      </c>
      <c r="C127" s="60">
        <v>142.46665954589844</v>
      </c>
      <c r="D127" s="60">
        <v>161.39560489864141</v>
      </c>
      <c r="E127" s="60">
        <v>160.66667175292969</v>
      </c>
      <c r="F127" s="61">
        <v>134.92134094238281</v>
      </c>
    </row>
    <row r="128" spans="1:15" ht="18" customHeight="1" x14ac:dyDescent="0.2">
      <c r="A128" s="195"/>
      <c r="B128" s="37" t="s">
        <v>64</v>
      </c>
      <c r="C128" s="60">
        <v>27.399999618530273</v>
      </c>
      <c r="D128" s="60">
        <v>26.307692475371308</v>
      </c>
      <c r="E128" s="60">
        <v>33.590908050537109</v>
      </c>
      <c r="F128" s="61">
        <v>28.900585174560547</v>
      </c>
    </row>
    <row r="129" spans="1:15" ht="18" customHeight="1" x14ac:dyDescent="0.2">
      <c r="A129" s="195"/>
      <c r="B129" s="37" t="s">
        <v>65</v>
      </c>
      <c r="C129" s="63">
        <v>0.60804760456085205</v>
      </c>
      <c r="D129" s="63">
        <v>0.34731956649517559</v>
      </c>
      <c r="E129" s="63">
        <v>0.15416014194488525</v>
      </c>
      <c r="F129" s="64">
        <v>0.36003854870796204</v>
      </c>
    </row>
    <row r="130" spans="1:15" ht="18" customHeight="1" x14ac:dyDescent="0.2">
      <c r="A130" s="196"/>
      <c r="B130" s="39" t="s">
        <v>28</v>
      </c>
      <c r="C130" s="40">
        <f ca="1">3407.62059024282*OFFSET($L$112,MATCH($N$1,$C$112:$C$113,0)-1,0)</f>
        <v>3407.6205902428201</v>
      </c>
      <c r="D130" s="40">
        <f ca="1">3302.41988870136*OFFSET($L$112,MATCH($N$1,$C$112:$C$113,0)-1,0)</f>
        <v>3302.4198887013599</v>
      </c>
      <c r="E130" s="40">
        <f ca="1">3453.54255614972*OFFSET($L$112,MATCH($N$1,$C$112:$C$113,0)-1,0)</f>
        <v>3453.54255614972</v>
      </c>
      <c r="F130" s="65">
        <f ca="1">2757*OFFSET($L$112,MATCH($N$1,$C$112:$C$113,0)-1,0)</f>
        <v>2757</v>
      </c>
    </row>
    <row r="131" spans="1:15" ht="18" customHeight="1" x14ac:dyDescent="0.2">
      <c r="A131" s="205" t="s">
        <v>29</v>
      </c>
      <c r="B131" s="35" t="s">
        <v>66</v>
      </c>
      <c r="C131" s="66">
        <v>4.0630384219852429</v>
      </c>
      <c r="D131" s="66">
        <v>2.3009356933094671</v>
      </c>
      <c r="E131" s="66">
        <v>1.0962086872867851</v>
      </c>
      <c r="F131" s="67">
        <v>2.4240050097617618</v>
      </c>
    </row>
    <row r="132" spans="1:15" ht="18" customHeight="1" x14ac:dyDescent="0.2">
      <c r="A132" s="206"/>
      <c r="B132" s="37" t="s">
        <v>67</v>
      </c>
      <c r="C132" s="63">
        <f ca="1">13.8452933857046*OFFSET($L$112,MATCH($N$1,$C$112:$C$113,0)-1,0)</f>
        <v>13.845293385704601</v>
      </c>
      <c r="D132" s="63">
        <f ca="1">7.59865579620804*OFFSET($L$112,MATCH($N$1,$C$112:$C$113,0)-1,0)</f>
        <v>7.5986557962080399</v>
      </c>
      <c r="E132" s="63">
        <f ca="1">3.78580335196593*OFFSET($L$112,MATCH($N$1,$C$112:$C$113,0)-1,0)</f>
        <v>3.7858033519659302</v>
      </c>
      <c r="F132" s="64">
        <f ca="1">6.68375819640536*OFFSET($L$112,MATCH($N$1,$C$112:$C$113,0)-1,0)</f>
        <v>6.6837581964053596</v>
      </c>
    </row>
    <row r="133" spans="1:15" ht="18" customHeight="1" x14ac:dyDescent="0.2">
      <c r="A133" s="206"/>
      <c r="B133" s="37" t="s">
        <v>11</v>
      </c>
      <c r="C133" s="63">
        <f ca="1">8.67486997944973*OFFSET($L$112,MATCH($N$1,$C$112:$C$113,0)-1,0)</f>
        <v>8.6748699794497295</v>
      </c>
      <c r="D133" s="63">
        <f ca="1">5.05521088865828*OFFSET($L$112,MATCH($N$1,$C$112:$C$113,0)-1,0)</f>
        <v>5.0552108886582801</v>
      </c>
      <c r="E133" s="63">
        <f ca="1">2.83628165780419*OFFSET($L$112,MATCH($N$1,$C$112:$C$113,0)-1,0)</f>
        <v>2.8362816578041898</v>
      </c>
      <c r="F133" s="64">
        <f ca="1">4.44746917847504*OFFSET($L$112,MATCH($N$1,$C$112:$C$113,0)-1,0)</f>
        <v>4.44746917847504</v>
      </c>
    </row>
    <row r="134" spans="1:15" ht="18" customHeight="1" x14ac:dyDescent="0.2">
      <c r="A134" s="207"/>
      <c r="B134" s="39" t="s">
        <v>12</v>
      </c>
      <c r="C134" s="68">
        <f ca="1">5.17042340625489*OFFSET($L$112,MATCH($N$1,$C$112:$C$113,0)-1,0)</f>
        <v>5.1704234062548897</v>
      </c>
      <c r="D134" s="68">
        <f ca="1">2.54344490754976*OFFSET($L$112,MATCH($N$1,$C$112:$C$113,0)-1,0)</f>
        <v>2.5434449075497598</v>
      </c>
      <c r="E134" s="68">
        <f ca="1">0.949521694161743*OFFSET($L$112,MATCH($N$1,$C$112:$C$113,0)-1,0)</f>
        <v>0.94952169416174304</v>
      </c>
      <c r="F134" s="69">
        <f ca="1">2.23628901793032*OFFSET($L$112,MATCH($N$1,$C$112:$C$113,0)-1,0)</f>
        <v>2.2362890179303201</v>
      </c>
    </row>
    <row r="135" spans="1:15" ht="18" customHeight="1" x14ac:dyDescent="0.2">
      <c r="A135" s="208" t="s">
        <v>49</v>
      </c>
      <c r="B135" s="37" t="s">
        <v>109</v>
      </c>
      <c r="C135" s="70">
        <f ca="1">10.01064453125*OFFSET($L$112,MATCH($N$1,$C$112:$C$113,0)-1,0)</f>
        <v>10.01064453125</v>
      </c>
      <c r="D135" s="70">
        <f ca="1">13.4456627747253*OFFSET($L$112,MATCH($N$1,$C$112:$C$113,0)-1,0)</f>
        <v>13.445662774725299</v>
      </c>
      <c r="E135" s="70">
        <f ca="1">13.3905732421875*OFFSET($L$112,MATCH($N$1,$C$112:$C$113,0)-1,0)</f>
        <v>13.3905732421875</v>
      </c>
      <c r="F135" s="71">
        <f ca="1">7.65568310546875*OFFSET($L$112,MATCH($N$1,$C$112:$C$113,0)-1,0)</f>
        <v>7.65568310546875</v>
      </c>
    </row>
    <row r="136" spans="1:15" ht="18" customHeight="1" x14ac:dyDescent="0.2">
      <c r="A136" s="209"/>
      <c r="B136" s="37" t="s">
        <v>110</v>
      </c>
      <c r="C136" s="31">
        <v>19163.33306826069</v>
      </c>
      <c r="D136" s="31">
        <v>25808.241801128395</v>
      </c>
      <c r="E136" s="31">
        <v>25675.556944815908</v>
      </c>
      <c r="F136" s="72">
        <v>20891.713483146068</v>
      </c>
    </row>
    <row r="137" spans="1:15" ht="18" customHeight="1" x14ac:dyDescent="0.2">
      <c r="A137" s="209"/>
      <c r="B137" s="37" t="s">
        <v>111</v>
      </c>
      <c r="C137" s="31">
        <v>134.51100158691406</v>
      </c>
      <c r="D137" s="31">
        <v>159.90671999610097</v>
      </c>
      <c r="E137" s="31">
        <v>159.80636596679688</v>
      </c>
      <c r="F137" s="72">
        <v>154.84364318847656</v>
      </c>
    </row>
    <row r="138" spans="1:15" ht="18" customHeight="1" x14ac:dyDescent="0.2">
      <c r="A138" s="209"/>
      <c r="B138" s="37" t="s">
        <v>112</v>
      </c>
      <c r="C138" s="31">
        <f ca="1">70.266577198891*OFFSET($L$112,MATCH($N$1,$C$112:$C$113,0)-1,0)</f>
        <v>70.266577198891</v>
      </c>
      <c r="D138" s="31">
        <f ca="1">83.3087293992258*OFFSET($L$112,MATCH($N$1,$C$112:$C$113,0)-1,0)</f>
        <v>83.308729399225797</v>
      </c>
      <c r="E138" s="31">
        <f ca="1">83.3438142216531*OFFSET($L$112,MATCH($N$1,$C$112:$C$113,0)-1,0)</f>
        <v>83.343814221653105</v>
      </c>
      <c r="F138" s="72">
        <f ca="1">56.7418249181058*OFFSET($L$112,MATCH($N$1,$C$112:$C$113,0)-1,0)</f>
        <v>56.741824918105799</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115.560980808169*OFFSET($L$112,MATCH($N$1,$C$112:$C$113,0)-1,0)</f>
        <v>115.56098080816901</v>
      </c>
      <c r="D139" s="31">
        <f ca="1">239.861895026242*OFFSET($L$112,MATCH($N$1,$C$112:$C$113,0)-1,0)</f>
        <v>239.861895026242</v>
      </c>
      <c r="E139" s="31">
        <f ca="1">540.631417475109*OFFSET($L$112,MATCH($N$1,$C$112:$C$113,0)-1,0)</f>
        <v>540.63141747510895</v>
      </c>
      <c r="F139" s="72">
        <f ca="1">157.599299960523*OFFSET($L$112,MATCH($N$1,$C$112:$C$113,0)-1,0)</f>
        <v>157.59929996052301</v>
      </c>
      <c r="I139" s="48"/>
      <c r="K139" s="73" t="s">
        <v>114</v>
      </c>
      <c r="L139" s="74">
        <f t="shared" ref="L139:M141" ca="1" si="2">C140</f>
        <v>301.15846875</v>
      </c>
      <c r="M139" s="74">
        <f t="shared" ca="1" si="2"/>
        <v>188.86273592033001</v>
      </c>
      <c r="N139" s="74">
        <f ca="1">E140</f>
        <v>87.268140625000001</v>
      </c>
      <c r="O139" s="74"/>
    </row>
    <row r="140" spans="1:15" ht="18" customHeight="1" x14ac:dyDescent="0.2">
      <c r="A140" s="187" t="s">
        <v>50</v>
      </c>
      <c r="B140" s="35" t="s">
        <v>115</v>
      </c>
      <c r="C140" s="75">
        <f ca="1">301.15846875*OFFSET($L$112,MATCH($N$1,$C$112:$C$113,0)-1,0)</f>
        <v>301.15846875</v>
      </c>
      <c r="D140" s="75">
        <f ca="1">188.86273592033*OFFSET($L$112,MATCH($N$1,$C$112:$C$113,0)-1,0)</f>
        <v>188.86273592033001</v>
      </c>
      <c r="E140" s="75">
        <f ca="1">87.268140625*OFFSET($L$112,MATCH($N$1,$C$112:$C$113,0)-1,0)</f>
        <v>87.268140625000001</v>
      </c>
      <c r="F140" s="76">
        <f ca="1">149.378296875*OFFSET($L$112,MATCH($N$1,$C$112:$C$113,0)-1,0)</f>
        <v>149.37829687499999</v>
      </c>
      <c r="I140" s="48"/>
      <c r="K140" s="73" t="s">
        <v>116</v>
      </c>
      <c r="L140" s="74">
        <f t="shared" ca="1" si="2"/>
        <v>190.92182812499999</v>
      </c>
      <c r="M140" s="74">
        <f t="shared" ca="1" si="2"/>
        <v>126.898826837225</v>
      </c>
      <c r="N140" s="74">
        <f ca="1">E141</f>
        <v>65.814078124999995</v>
      </c>
      <c r="O140" s="74"/>
    </row>
    <row r="141" spans="1:15" ht="18" customHeight="1" x14ac:dyDescent="0.2">
      <c r="A141" s="188"/>
      <c r="B141" s="37" t="s">
        <v>117</v>
      </c>
      <c r="C141" s="31">
        <f ca="1">190.921828125*OFFSET($L$112,MATCH($N$1,$C$112:$C$113,0)-1,0)</f>
        <v>190.92182812499999</v>
      </c>
      <c r="D141" s="31">
        <f ca="1">126.898826837225*OFFSET($L$112,MATCH($N$1,$C$112:$C$113,0)-1,0)</f>
        <v>126.898826837225</v>
      </c>
      <c r="E141" s="31">
        <f ca="1">65.814078125*OFFSET($L$112,MATCH($N$1,$C$112:$C$113,0)-1,0)</f>
        <v>65.814078124999995</v>
      </c>
      <c r="F141" s="72">
        <f ca="1">104.5632265625*OFFSET($L$112,MATCH($N$1,$C$112:$C$113,0)-1,0)</f>
        <v>104.56322656250001</v>
      </c>
      <c r="I141" s="48"/>
      <c r="K141" s="73" t="s">
        <v>118</v>
      </c>
      <c r="L141" s="74">
        <f t="shared" ca="1" si="2"/>
        <v>110.23664062500001</v>
      </c>
      <c r="M141" s="74">
        <f t="shared" ca="1" si="2"/>
        <v>61.963909083104397</v>
      </c>
      <c r="N141" s="74">
        <f ca="1">E142</f>
        <v>21.454062499999999</v>
      </c>
      <c r="O141" s="74"/>
    </row>
    <row r="142" spans="1:15" ht="18" customHeight="1" x14ac:dyDescent="0.2">
      <c r="A142" s="189"/>
      <c r="B142" s="39" t="s">
        <v>119</v>
      </c>
      <c r="C142" s="40">
        <f ca="1">110.236640625*OFFSET($L$112,MATCH($N$1,$C$112:$C$113,0)-1,0)</f>
        <v>110.23664062500001</v>
      </c>
      <c r="D142" s="40">
        <f ca="1">61.9639090831044*OFFSET($L$112,MATCH($N$1,$C$112:$C$113,0)-1,0)</f>
        <v>61.963909083104397</v>
      </c>
      <c r="E142" s="40">
        <f ca="1">21.4540625*OFFSET($L$112,MATCH($N$1,$C$112:$C$113,0)-1,0)</f>
        <v>21.454062499999999</v>
      </c>
      <c r="F142" s="65">
        <f ca="1">44.8150703125*OFFSET($L$112,MATCH($N$1,$C$112:$C$113,0)-1,0)</f>
        <v>44.815070312499998</v>
      </c>
      <c r="I142" s="48"/>
      <c r="K142" s="73" t="s">
        <v>120</v>
      </c>
      <c r="L142" s="77">
        <f ca="1">IFERROR(L140/L$139,"")</f>
        <v>0.63395802521326239</v>
      </c>
      <c r="M142" s="77">
        <f t="shared" ref="M142:N143" ca="1" si="3">IFERROR(M140/M$139,"")</f>
        <v>0.67191034916891224</v>
      </c>
      <c r="N142" s="77">
        <f t="shared" ca="1" si="3"/>
        <v>0.75415928027858092</v>
      </c>
      <c r="O142" s="77"/>
    </row>
    <row r="143" spans="1:15" ht="18" customHeight="1" x14ac:dyDescent="0.2">
      <c r="I143" s="48"/>
      <c r="K143" s="73" t="s">
        <v>121</v>
      </c>
      <c r="L143" s="77">
        <f ca="1">IFERROR(L141/L$139,"")</f>
        <v>0.36604197478673761</v>
      </c>
      <c r="M143" s="77">
        <f t="shared" ca="1" si="3"/>
        <v>0.32808965083108454</v>
      </c>
      <c r="N143" s="77">
        <f t="shared" ca="1" si="3"/>
        <v>0.24584071972141894</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8</v>
      </c>
      <c r="B161" s="53"/>
      <c r="C161" s="78" t="s">
        <v>45</v>
      </c>
      <c r="D161" s="78" t="s">
        <v>122</v>
      </c>
      <c r="E161" s="78" t="s">
        <v>47</v>
      </c>
      <c r="F161" s="78" t="s">
        <v>123</v>
      </c>
      <c r="G161" s="79">
        <v>7</v>
      </c>
      <c r="H161" s="78"/>
      <c r="I161" s="78" t="s">
        <v>45</v>
      </c>
      <c r="J161" s="78" t="s">
        <v>122</v>
      </c>
      <c r="K161" s="78" t="s">
        <v>47</v>
      </c>
      <c r="L161" s="53" t="s">
        <v>123</v>
      </c>
      <c r="R161" s="21"/>
      <c r="S161" s="21"/>
    </row>
    <row r="162" spans="1:19" s="48" customFormat="1" x14ac:dyDescent="0.2">
      <c r="A162" s="49">
        <v>1</v>
      </c>
      <c r="B162" s="53" t="s">
        <v>248</v>
      </c>
      <c r="C162" s="53">
        <v>0.10362208640458986</v>
      </c>
      <c r="D162" s="53">
        <v>0.48074727036431963</v>
      </c>
      <c r="E162" s="53">
        <v>0.4001275924363113</v>
      </c>
      <c r="F162" s="49">
        <v>3050596</v>
      </c>
      <c r="G162" s="49">
        <v>1</v>
      </c>
      <c r="H162" s="53" t="s">
        <v>245</v>
      </c>
      <c r="I162" s="53">
        <v>5.1517528360067864E-2</v>
      </c>
      <c r="J162" s="53">
        <v>0.36188055229741128</v>
      </c>
      <c r="K162" s="53">
        <v>0.22832656611815047</v>
      </c>
      <c r="L162" s="49">
        <v>12153634</v>
      </c>
      <c r="R162" s="21"/>
      <c r="S162" s="21"/>
    </row>
    <row r="163" spans="1:19" s="48" customFormat="1" x14ac:dyDescent="0.2">
      <c r="A163" s="49">
        <v>2</v>
      </c>
      <c r="B163" s="53" t="s">
        <v>104</v>
      </c>
      <c r="C163" s="53">
        <v>0.13405294570382323</v>
      </c>
      <c r="D163" s="53">
        <v>0.37078824692977524</v>
      </c>
      <c r="E163" s="53">
        <v>0.34723822968448698</v>
      </c>
      <c r="F163" s="49">
        <v>553960</v>
      </c>
      <c r="G163" s="49">
        <v>2</v>
      </c>
      <c r="H163" s="53" t="s">
        <v>104</v>
      </c>
      <c r="I163" s="53">
        <v>7.8036486992928616E-2</v>
      </c>
      <c r="J163" s="53">
        <v>0.25427438184286488</v>
      </c>
      <c r="K163" s="53">
        <v>0.1976257560223921</v>
      </c>
      <c r="L163" s="49">
        <v>553960</v>
      </c>
      <c r="N163" s="48" t="s">
        <v>124</v>
      </c>
      <c r="R163" s="21"/>
      <c r="S163" s="21"/>
    </row>
    <row r="164" spans="1:19" s="48" customFormat="1" x14ac:dyDescent="0.2">
      <c r="A164" s="49">
        <v>3</v>
      </c>
      <c r="B164" s="53" t="s">
        <v>245</v>
      </c>
      <c r="C164" s="53">
        <v>1.2718584437814521E-2</v>
      </c>
      <c r="D164" s="53">
        <v>7.2547871035983938E-2</v>
      </c>
      <c r="E164" s="53">
        <v>5.4055913840027885E-2</v>
      </c>
      <c r="F164" s="49">
        <v>12153634</v>
      </c>
      <c r="G164" s="49">
        <v>3</v>
      </c>
      <c r="H164" s="53" t="s">
        <v>248</v>
      </c>
      <c r="I164" s="53">
        <v>3.4489927427839462E-2</v>
      </c>
      <c r="J164" s="53">
        <v>0.22356283565810675</v>
      </c>
      <c r="K164" s="53">
        <v>0.14660953274007829</v>
      </c>
      <c r="L164" s="49">
        <v>3050596</v>
      </c>
      <c r="N164" s="48" t="s">
        <v>125</v>
      </c>
      <c r="R164" s="21"/>
      <c r="S164" s="21"/>
    </row>
    <row r="165" spans="1:19" s="48" customFormat="1" x14ac:dyDescent="0.2">
      <c r="A165" s="49">
        <v>4</v>
      </c>
      <c r="B165" s="53" t="s">
        <v>102</v>
      </c>
      <c r="C165" s="53">
        <v>2.5696545653319074E-2</v>
      </c>
      <c r="D165" s="53">
        <v>2.8477302315997412E-2</v>
      </c>
      <c r="E165" s="53">
        <v>0.10201105206982268</v>
      </c>
      <c r="F165" s="49">
        <v>1692097</v>
      </c>
      <c r="G165" s="49">
        <v>4</v>
      </c>
      <c r="H165" s="53" t="s">
        <v>102</v>
      </c>
      <c r="I165" s="53">
        <v>8.171580919994309E-2</v>
      </c>
      <c r="J165" s="53">
        <v>0.10997024939629607</v>
      </c>
      <c r="K165" s="53">
        <v>0.29883612526744302</v>
      </c>
      <c r="L165" s="49">
        <v>1692097</v>
      </c>
      <c r="R165" s="21"/>
      <c r="S165" s="21"/>
    </row>
    <row r="166" spans="1:19" s="48" customFormat="1" x14ac:dyDescent="0.2">
      <c r="A166" s="49">
        <v>5</v>
      </c>
      <c r="B166" s="53" t="s">
        <v>250</v>
      </c>
      <c r="C166" s="53">
        <v>0</v>
      </c>
      <c r="D166" s="53">
        <v>1.5765978887056574E-2</v>
      </c>
      <c r="E166" s="53">
        <v>0</v>
      </c>
      <c r="F166" s="49">
        <v>11115023</v>
      </c>
      <c r="G166" s="49">
        <v>5</v>
      </c>
      <c r="H166" s="53" t="s">
        <v>249</v>
      </c>
      <c r="I166" s="53">
        <v>5.7003425453745612E-3</v>
      </c>
      <c r="J166" s="53">
        <v>1.4353786157599833E-2</v>
      </c>
      <c r="K166" s="53">
        <v>6.4819215247975473E-2</v>
      </c>
      <c r="L166" s="49">
        <v>3689192</v>
      </c>
      <c r="R166" s="21"/>
      <c r="S166" s="21"/>
    </row>
    <row r="167" spans="1:19" s="48" customFormat="1" x14ac:dyDescent="0.2">
      <c r="A167" s="49">
        <v>6</v>
      </c>
      <c r="B167" s="53" t="s">
        <v>249</v>
      </c>
      <c r="C167" s="53">
        <v>6.851225318702657E-3</v>
      </c>
      <c r="D167" s="53">
        <v>0</v>
      </c>
      <c r="E167" s="53">
        <v>7.2465668081910586E-2</v>
      </c>
      <c r="F167" s="49">
        <v>3689192</v>
      </c>
      <c r="G167" s="49">
        <v>6</v>
      </c>
      <c r="H167" s="53" t="s">
        <v>107</v>
      </c>
      <c r="I167" s="53">
        <v>0.74853990547384641</v>
      </c>
      <c r="J167" s="53">
        <v>3.5958194647721209E-2</v>
      </c>
      <c r="K167" s="53">
        <v>6.3782804603960686E-2</v>
      </c>
      <c r="L167" s="49">
        <v>5920853</v>
      </c>
      <c r="R167" s="21"/>
      <c r="S167" s="21"/>
    </row>
    <row r="168" spans="1:19" s="48" customFormat="1" x14ac:dyDescent="0.2">
      <c r="A168" s="49">
        <v>7</v>
      </c>
      <c r="B168" s="53" t="s">
        <v>107</v>
      </c>
      <c r="C168" s="53">
        <v>0.71705861248175062</v>
      </c>
      <c r="D168" s="53">
        <v>3.1673330466867267E-2</v>
      </c>
      <c r="E168" s="53">
        <v>2.410154388744068E-2</v>
      </c>
      <c r="F168" s="49">
        <v>5920853</v>
      </c>
      <c r="G168" s="49">
        <v>7</v>
      </c>
      <c r="H168" s="53"/>
      <c r="I168" s="53">
        <v>0</v>
      </c>
      <c r="J168" s="53">
        <v>0</v>
      </c>
      <c r="K168" s="53">
        <v>0</v>
      </c>
      <c r="L168" s="49"/>
      <c r="R168" s="21"/>
      <c r="S168" s="21"/>
    </row>
    <row r="169" spans="1:19" s="48" customFormat="1" x14ac:dyDescent="0.2">
      <c r="A169" s="49">
        <v>8</v>
      </c>
      <c r="B169" s="53"/>
      <c r="C169" s="53">
        <v>0</v>
      </c>
      <c r="D169" s="53">
        <v>0</v>
      </c>
      <c r="E169" s="53">
        <v>0</v>
      </c>
      <c r="F169" s="49"/>
      <c r="G169" s="49">
        <v>8</v>
      </c>
      <c r="H169" s="53"/>
      <c r="I169" s="53">
        <v>0</v>
      </c>
      <c r="J169" s="53">
        <v>0</v>
      </c>
      <c r="K169" s="53">
        <v>0</v>
      </c>
      <c r="L169" s="49"/>
      <c r="R169" s="21"/>
      <c r="S169" s="21"/>
    </row>
    <row r="170" spans="1:19" s="48" customFormat="1" x14ac:dyDescent="0.2">
      <c r="A170" s="49">
        <v>9</v>
      </c>
      <c r="B170" s="53"/>
      <c r="C170" s="53">
        <v>0</v>
      </c>
      <c r="D170" s="53">
        <v>0</v>
      </c>
      <c r="E170" s="53">
        <v>0</v>
      </c>
      <c r="F170" s="49"/>
      <c r="G170" s="49">
        <v>9</v>
      </c>
      <c r="H170" s="53"/>
      <c r="I170" s="53">
        <v>0</v>
      </c>
      <c r="J170" s="53">
        <v>0</v>
      </c>
      <c r="K170" s="53">
        <v>0</v>
      </c>
      <c r="L170" s="49"/>
      <c r="R170" s="21"/>
      <c r="S170" s="21"/>
    </row>
    <row r="171" spans="1:19" s="48" customFormat="1" x14ac:dyDescent="0.2">
      <c r="A171" s="49">
        <v>10</v>
      </c>
      <c r="B171" s="53"/>
      <c r="C171" s="53">
        <v>0</v>
      </c>
      <c r="D171" s="53">
        <v>0</v>
      </c>
      <c r="E171" s="53">
        <v>0</v>
      </c>
      <c r="F171" s="49"/>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487DF543-9B1D-4537-B64E-7429D9245BD2}">
      <formula1>$C$112:$C$113</formula1>
    </dataValidation>
  </dataValidations>
  <hyperlinks>
    <hyperlink ref="O1:P1" location="Home_page" display="Back to home page" xr:uid="{C4352F0F-8611-405C-A9A6-A16994855E60}"/>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0FF9B75F-F17E-4526-A585-6F074EE83B35}">
          <x14:colorSeries rgb="FF323232"/>
          <x14:colorNegative rgb="FFD00000"/>
          <x14:colorAxis rgb="FF000000"/>
          <x14:colorMarkers rgb="FFD00000"/>
          <x14:colorFirst rgb="FFD00000"/>
          <x14:colorLast rgb="FFD00000"/>
          <x14:colorHigh rgb="FFD00000"/>
          <x14:colorLow rgb="FFD00000"/>
          <x14:sparklines>
            <x14:sparkline>
              <xm:f>'Pots and traps 10-12m'!D3:N3</xm:f>
              <xm:sqref>C3</xm:sqref>
            </x14:sparkline>
            <x14:sparkline>
              <xm:f>'Pots and traps 10-12m'!D4:N4</xm:f>
              <xm:sqref>C4</xm:sqref>
            </x14:sparkline>
            <x14:sparkline>
              <xm:f>'Pots and traps 10-12m'!D5:N5</xm:f>
              <xm:sqref>C5</xm:sqref>
            </x14:sparkline>
            <x14:sparkline>
              <xm:f>'Pots and traps 10-12m'!D6:N6</xm:f>
              <xm:sqref>C6</xm:sqref>
            </x14:sparkline>
            <x14:sparkline>
              <xm:f>'Pots and traps 10-12m'!D7:N7</xm:f>
              <xm:sqref>C7</xm:sqref>
            </x14:sparkline>
            <x14:sparkline>
              <xm:f>'Pots and traps 10-12m'!D8:N8</xm:f>
              <xm:sqref>C8</xm:sqref>
            </x14:sparkline>
            <x14:sparkline>
              <xm:f>'Pots and traps 10-12m'!D9:N9</xm:f>
              <xm:sqref>C9</xm:sqref>
            </x14:sparkline>
            <x14:sparkline>
              <xm:f>'Pots and traps 10-12m'!D10:N10</xm:f>
              <xm:sqref>C10</xm:sqref>
            </x14:sparkline>
            <x14:sparkline>
              <xm:f>'Pots and traps 10-12m'!D11:N11</xm:f>
              <xm:sqref>C11</xm:sqref>
            </x14:sparkline>
            <x14:sparkline>
              <xm:f>'Pots and traps 10-12m'!D12:N12</xm:f>
              <xm:sqref>C12</xm:sqref>
            </x14:sparkline>
            <x14:sparkline>
              <xm:f>'Pots and traps 10-12m'!D13:N13</xm:f>
              <xm:sqref>C13</xm:sqref>
            </x14:sparkline>
            <x14:sparkline>
              <xm:f>'Pots and traps 10-12m'!D14:N14</xm:f>
              <xm:sqref>C14</xm:sqref>
            </x14:sparkline>
            <x14:sparkline>
              <xm:f>'Pots and traps 10-12m'!D15:N15</xm:f>
              <xm:sqref>C15</xm:sqref>
            </x14:sparkline>
            <x14:sparkline>
              <xm:f>'Pots and traps 10-12m'!D16:N16</xm:f>
              <xm:sqref>C16</xm:sqref>
            </x14:sparkline>
            <x14:sparkline>
              <xm:f>'Pots and traps 10-12m'!D17:N17</xm:f>
              <xm:sqref>C17</xm:sqref>
            </x14:sparkline>
            <x14:sparkline>
              <xm:f>'Pots and traps 10-12m'!D18:N18</xm:f>
              <xm:sqref>C18</xm:sqref>
            </x14:sparkline>
            <x14:sparkline>
              <xm:f>'Pots and traps 10-12m'!D19:N19</xm:f>
              <xm:sqref>C19</xm:sqref>
            </x14:sparkline>
            <x14:sparkline>
              <xm:f>'Pots and traps 10-12m'!D20:N20</xm:f>
              <xm:sqref>C20</xm:sqref>
            </x14:sparkline>
            <x14:sparkline>
              <xm:f>'Pots and traps 10-12m'!D21:N21</xm:f>
              <xm:sqref>C21</xm:sqref>
            </x14:sparkline>
            <x14:sparkline>
              <xm:f>'Pots and traps 10-12m'!D22:N22</xm:f>
              <xm:sqref>C22</xm:sqref>
            </x14:sparkline>
            <x14:sparkline>
              <xm:f>'Pots and traps 10-12m'!D23:N23</xm:f>
              <xm:sqref>C23</xm:sqref>
            </x14:sparkline>
            <x14:sparkline>
              <xm:f>'Pots and traps 10-12m'!D24:N24</xm:f>
              <xm:sqref>C24</xm:sqref>
            </x14:sparkline>
            <x14:sparkline>
              <xm:f>'Pots and traps 10-12m'!D25:N25</xm:f>
              <xm:sqref>C25</xm:sqref>
            </x14:sparkline>
            <x14:sparkline>
              <xm:f>'Pots and traps 10-12m'!D26:N26</xm:f>
              <xm:sqref>C26</xm:sqref>
            </x14:sparkline>
            <x14:sparkline>
              <xm:f>'Pots and traps 10-12m'!D27:N27</xm:f>
              <xm:sqref>C27</xm:sqref>
            </x14:sparkline>
            <x14:sparkline>
              <xm:f>'Pots and traps 10-12m'!D28:N28</xm:f>
              <xm:sqref>C28</xm:sqref>
            </x14:sparkline>
            <x14:sparkline>
              <xm:f>'Pots and traps 10-12m'!D29:N29</xm:f>
              <xm:sqref>C29</xm:sqref>
            </x14:sparkline>
            <x14:sparkline>
              <xm:f>'Pots and traps 10-12m'!D30:N30</xm:f>
              <xm:sqref>C30</xm:sqref>
            </x14:sparkline>
            <x14:sparkline>
              <xm:f>'Pots and traps 10-12m'!D31:N31</xm:f>
              <xm:sqref>C31</xm:sqref>
            </x14:sparkline>
            <x14:sparkline>
              <xm:f>'Pots and traps 10-12m'!D32:N32</xm:f>
              <xm:sqref>C32</xm:sqref>
            </x14:sparkline>
            <x14:sparkline>
              <xm:f>'Pots and traps 10-12m'!D33:N33</xm:f>
              <xm:sqref>C33</xm:sqref>
            </x14:sparkline>
            <x14:sparkline>
              <xm:f>'Pots and traps 10-12m'!D34:N34</xm:f>
              <xm:sqref>C34</xm:sqref>
            </x14:sparkline>
            <x14:sparkline>
              <xm:f>'Pots and traps 10-12m'!D35:N35</xm:f>
              <xm:sqref>C35</xm:sqref>
            </x14:sparkline>
            <x14:sparkline>
              <xm:f>'Pots and traps 10-12m'!D36:N36</xm:f>
              <xm:sqref>C36</xm:sqref>
            </x14:sparkline>
            <x14:sparkline>
              <xm:f>'Pots and traps 10-12m'!D37:N37</xm:f>
              <xm:sqref>C37</xm:sqref>
            </x14:sparkline>
            <x14:sparkline>
              <xm:f>'Pots and traps 10-12m'!D38:N38</xm:f>
              <xm:sqref>C38</xm:sqref>
            </x14:sparkline>
            <x14:sparkline>
              <xm:f>'Pots and traps 10-12m'!D39:N39</xm:f>
              <xm:sqref>C39</xm:sqref>
            </x14:sparkline>
            <x14:sparkline>
              <xm:f>'Pots and traps 10-12m'!D40:N40</xm:f>
              <xm:sqref>C40</xm:sqref>
            </x14:sparkline>
            <x14:sparkline>
              <xm:f>'Pots and traps 10-12m'!D41:N41</xm:f>
              <xm:sqref>C41</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A67DB-F8B3-46A4-95E4-D9F76896D02A}">
  <sheetPr codeName="Feuil28">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393</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80</v>
      </c>
      <c r="E3" s="28">
        <v>80</v>
      </c>
      <c r="F3" s="28">
        <v>86</v>
      </c>
      <c r="G3" s="28">
        <v>91</v>
      </c>
      <c r="H3" s="28">
        <v>95</v>
      </c>
      <c r="I3" s="28">
        <v>92</v>
      </c>
      <c r="J3" s="28">
        <v>91</v>
      </c>
      <c r="K3" s="28">
        <v>98</v>
      </c>
      <c r="L3" s="28">
        <v>105</v>
      </c>
      <c r="M3" s="28">
        <v>109</v>
      </c>
      <c r="N3" s="28">
        <v>106</v>
      </c>
      <c r="O3" s="29">
        <f t="shared" ref="O3:O41" si="0">IF(N3=0,"",IFERROR(IF(AND(N3&gt;0,D3&lt;0),"na",IF(AND(N3&lt;0,D3&lt;0),-1,1)*(N3-D3)/D3),""))</f>
        <v>0.32500000000000001</v>
      </c>
      <c r="P3" s="29">
        <f t="shared" ref="P3:P41" si="1">IF(N3=0,"",IFERROR(IF(AND(N3&gt;0,J3&lt;0),"na",IF(AND(N3&lt;0,J3&lt;0),-1,1)*(N3-J3)/J3),""))</f>
        <v>0.16483516483516483</v>
      </c>
    </row>
    <row r="4" spans="1:17" ht="18" customHeight="1" x14ac:dyDescent="0.2">
      <c r="A4" s="193"/>
      <c r="B4" s="30" t="s">
        <v>55</v>
      </c>
      <c r="C4" s="31"/>
      <c r="D4" s="31">
        <v>18436</v>
      </c>
      <c r="E4" s="31">
        <v>17482</v>
      </c>
      <c r="F4" s="31">
        <v>18816</v>
      </c>
      <c r="G4" s="31">
        <v>20112</v>
      </c>
      <c r="H4" s="31">
        <v>21426</v>
      </c>
      <c r="I4" s="31">
        <v>21270</v>
      </c>
      <c r="J4" s="31">
        <v>21187</v>
      </c>
      <c r="K4" s="31">
        <v>22886</v>
      </c>
      <c r="L4" s="31">
        <v>24459</v>
      </c>
      <c r="M4" s="31">
        <v>25309</v>
      </c>
      <c r="N4" s="31">
        <v>24754</v>
      </c>
      <c r="O4" s="29">
        <f t="shared" si="0"/>
        <v>0.34269906704274244</v>
      </c>
      <c r="P4" s="29">
        <f t="shared" si="1"/>
        <v>0.16835795534997877</v>
      </c>
    </row>
    <row r="5" spans="1:17" ht="18" customHeight="1" x14ac:dyDescent="0.2">
      <c r="A5" s="193"/>
      <c r="B5" s="30" t="s">
        <v>56</v>
      </c>
      <c r="C5" s="31"/>
      <c r="D5" s="31">
        <v>4548</v>
      </c>
      <c r="E5" s="31">
        <v>4161</v>
      </c>
      <c r="F5" s="31">
        <v>4613</v>
      </c>
      <c r="G5" s="31">
        <v>4772</v>
      </c>
      <c r="H5" s="31">
        <v>5042</v>
      </c>
      <c r="I5" s="31">
        <v>4939</v>
      </c>
      <c r="J5" s="31">
        <v>5170</v>
      </c>
      <c r="K5" s="31">
        <v>5461</v>
      </c>
      <c r="L5" s="31">
        <v>6085</v>
      </c>
      <c r="M5" s="31">
        <v>6425</v>
      </c>
      <c r="N5" s="31">
        <v>6548.080078125</v>
      </c>
      <c r="O5" s="29">
        <f t="shared" si="0"/>
        <v>0.43977134523416889</v>
      </c>
      <c r="P5" s="29">
        <f t="shared" si="1"/>
        <v>0.26655320660058029</v>
      </c>
      <c r="Q5" s="32"/>
    </row>
    <row r="6" spans="1:17" ht="18" customHeight="1" x14ac:dyDescent="0.2">
      <c r="A6" s="193"/>
      <c r="B6" s="30" t="s">
        <v>57</v>
      </c>
      <c r="C6" s="31"/>
      <c r="D6" s="31">
        <v>15125.203125</v>
      </c>
      <c r="E6" s="31">
        <v>14432.849609375</v>
      </c>
      <c r="F6" s="31">
        <v>15646.0966796875</v>
      </c>
      <c r="G6" s="31">
        <v>16525.40234375</v>
      </c>
      <c r="H6" s="31">
        <v>17432.7421875</v>
      </c>
      <c r="I6" s="31">
        <v>17077.455078125</v>
      </c>
      <c r="J6" s="31">
        <v>17307.447265625</v>
      </c>
      <c r="K6" s="31">
        <v>18649.78125</v>
      </c>
      <c r="L6" s="31">
        <v>18942.52734375</v>
      </c>
      <c r="M6" s="31">
        <v>18509.376953125</v>
      </c>
      <c r="N6" s="31">
        <v>17577.4765625</v>
      </c>
      <c r="O6" s="29">
        <f t="shared" si="0"/>
        <v>0.16213160360449705</v>
      </c>
      <c r="P6" s="29">
        <f t="shared" si="1"/>
        <v>1.560191360000939E-2</v>
      </c>
    </row>
    <row r="7" spans="1:17" ht="18" customHeight="1" x14ac:dyDescent="0.2">
      <c r="A7" s="193"/>
      <c r="B7" s="30" t="s">
        <v>58</v>
      </c>
      <c r="C7" s="31"/>
      <c r="D7" s="31">
        <v>17617.455078125</v>
      </c>
      <c r="E7" s="31">
        <v>17678.470703125</v>
      </c>
      <c r="F7" s="31">
        <v>19385.208984375</v>
      </c>
      <c r="G7" s="31">
        <v>23598.138671875</v>
      </c>
      <c r="H7" s="31">
        <v>23128.52734375</v>
      </c>
      <c r="I7" s="31">
        <v>24740.69921875</v>
      </c>
      <c r="J7" s="31">
        <v>24522.57421875</v>
      </c>
      <c r="K7" s="31">
        <v>26264.751953125</v>
      </c>
      <c r="L7" s="31">
        <v>24732.650390625</v>
      </c>
      <c r="M7" s="31">
        <v>23359.359375</v>
      </c>
      <c r="N7" s="31">
        <v>22506.763671875</v>
      </c>
      <c r="O7" s="29">
        <f t="shared" si="0"/>
        <v>0.2775263834684551</v>
      </c>
      <c r="P7" s="29">
        <f t="shared" si="1"/>
        <v>-8.2202240633192092E-2</v>
      </c>
    </row>
    <row r="8" spans="1:17" ht="18" customHeight="1" x14ac:dyDescent="0.2">
      <c r="A8" s="193"/>
      <c r="B8" s="30" t="s">
        <v>59</v>
      </c>
      <c r="C8" s="33"/>
      <c r="D8" s="33">
        <f ca="1">30.255424*OFFSET(D$112,MATCH($N$1,$C$112:$C$113,0)-1,0)</f>
        <v>30.255424000000001</v>
      </c>
      <c r="E8" s="33">
        <f ca="1">29.825814*OFFSET(E$112,MATCH($N$1,$C$112:$C$113,0)-1,0)</f>
        <v>29.825814000000001</v>
      </c>
      <c r="F8" s="33">
        <f ca="1">34.860164*OFFSET(F$112,MATCH($N$1,$C$112:$C$113,0)-1,0)</f>
        <v>34.860163999999997</v>
      </c>
      <c r="G8" s="33">
        <f ca="1">41.414368*OFFSET(G$112,MATCH($N$1,$C$112:$C$113,0)-1,0)</f>
        <v>41.414368000000003</v>
      </c>
      <c r="H8" s="33">
        <f ca="1">40.189872*OFFSET(H$112,MATCH($N$1,$C$112:$C$113,0)-1,0)</f>
        <v>40.189872000000001</v>
      </c>
      <c r="I8" s="33">
        <f ca="1">45.191192*OFFSET(I$112,MATCH($N$1,$C$112:$C$113,0)-1,0)</f>
        <v>45.191192000000001</v>
      </c>
      <c r="J8" s="33">
        <f ca="1">50.2952*OFFSET(J$112,MATCH($N$1,$C$112:$C$113,0)-1,0)</f>
        <v>50.295200000000001</v>
      </c>
      <c r="K8" s="33">
        <f ca="1">60.30172*OFFSET(K$112,MATCH($N$1,$C$112:$C$113,0)-1,0)</f>
        <v>60.301720000000003</v>
      </c>
      <c r="L8" s="33">
        <f ca="1">60.272528*OFFSET(L$112,MATCH($N$1,$C$112:$C$113,0)-1,0)</f>
        <v>60.272528000000001</v>
      </c>
      <c r="M8" s="33">
        <f ca="1">44.41978*OFFSET(M$112,MATCH($N$1,$C$112:$C$113,0)-1,0)</f>
        <v>44.419780000000003</v>
      </c>
      <c r="N8" s="33">
        <v>56.945203999999997</v>
      </c>
      <c r="O8" s="29">
        <f t="shared" ca="1" si="0"/>
        <v>0.88214860251173455</v>
      </c>
      <c r="P8" s="29">
        <f t="shared" ca="1" si="1"/>
        <v>0.13221945632982859</v>
      </c>
    </row>
    <row r="9" spans="1:17" ht="18" customHeight="1" x14ac:dyDescent="0.2">
      <c r="A9" s="193"/>
      <c r="B9" s="30" t="s">
        <v>60</v>
      </c>
      <c r="C9" s="31"/>
      <c r="D9" s="31">
        <v>14067</v>
      </c>
      <c r="E9" s="31">
        <v>13986</v>
      </c>
      <c r="F9" s="31">
        <v>14646</v>
      </c>
      <c r="G9" s="31">
        <v>16032</v>
      </c>
      <c r="H9" s="31">
        <v>16257</v>
      </c>
      <c r="I9" s="31">
        <v>16865</v>
      </c>
      <c r="J9" s="31">
        <v>17499</v>
      </c>
      <c r="K9" s="31">
        <v>18210</v>
      </c>
      <c r="L9" s="31">
        <v>19947</v>
      </c>
      <c r="M9" s="31">
        <v>19197</v>
      </c>
      <c r="N9" s="31">
        <v>19257</v>
      </c>
      <c r="O9" s="29">
        <f t="shared" si="0"/>
        <v>0.36894860311367028</v>
      </c>
      <c r="P9" s="29">
        <f t="shared" si="1"/>
        <v>0.10046288359334819</v>
      </c>
    </row>
    <row r="10" spans="1:17" ht="18" customHeight="1" x14ac:dyDescent="0.2">
      <c r="A10" s="193"/>
      <c r="B10" s="30" t="s">
        <v>61</v>
      </c>
      <c r="C10" s="31"/>
      <c r="D10" s="31">
        <v>578.825927734375</v>
      </c>
      <c r="E10" s="31">
        <v>438.51190185546875</v>
      </c>
      <c r="F10" s="31">
        <v>522.74151611328125</v>
      </c>
      <c r="G10" s="31">
        <v>555.421142578125</v>
      </c>
      <c r="H10" s="31">
        <v>517.9853515625</v>
      </c>
      <c r="I10" s="31">
        <v>677.094970703125</v>
      </c>
      <c r="J10" s="31">
        <v>616.86126708984375</v>
      </c>
      <c r="K10" s="31">
        <v>835.76214599609375</v>
      </c>
      <c r="L10" s="31">
        <v>717.63922119140625</v>
      </c>
      <c r="M10" s="31">
        <v>902.17620849609375</v>
      </c>
      <c r="N10" s="31">
        <v>910.718505859375</v>
      </c>
      <c r="O10" s="34">
        <f t="shared" si="0"/>
        <v>0.57338927339361778</v>
      </c>
      <c r="P10" s="34">
        <f t="shared" si="1"/>
        <v>0.47637492325601299</v>
      </c>
    </row>
    <row r="11" spans="1:17" ht="18" customHeight="1" x14ac:dyDescent="0.2">
      <c r="A11" s="194" t="s">
        <v>27</v>
      </c>
      <c r="B11" s="35" t="s">
        <v>62</v>
      </c>
      <c r="C11" s="36"/>
      <c r="D11" s="36">
        <v>15.501625061035156</v>
      </c>
      <c r="E11" s="36">
        <v>15.138500213623047</v>
      </c>
      <c r="F11" s="36">
        <v>15.286744117736816</v>
      </c>
      <c r="G11" s="36">
        <v>15.316923141479492</v>
      </c>
      <c r="H11" s="36">
        <v>15.349263191223145</v>
      </c>
      <c r="I11" s="36">
        <v>15.307282447814941</v>
      </c>
      <c r="J11" s="36">
        <v>15.491428375244141</v>
      </c>
      <c r="K11" s="36">
        <v>15.430816650390625</v>
      </c>
      <c r="L11" s="36">
        <v>15.489333152770996</v>
      </c>
      <c r="M11" s="36">
        <v>15.455963134765625</v>
      </c>
      <c r="N11" s="36">
        <v>15.563302040100098</v>
      </c>
      <c r="O11" s="29">
        <f t="shared" si="0"/>
        <v>3.9787427977452825E-3</v>
      </c>
      <c r="P11" s="29">
        <f t="shared" si="1"/>
        <v>4.6395763589375484E-3</v>
      </c>
    </row>
    <row r="12" spans="1:17" ht="18" customHeight="1" x14ac:dyDescent="0.2">
      <c r="A12" s="195"/>
      <c r="B12" s="37" t="s">
        <v>55</v>
      </c>
      <c r="C12" s="31"/>
      <c r="D12" s="31">
        <v>230.44999694824219</v>
      </c>
      <c r="E12" s="31">
        <v>218.52499389648438</v>
      </c>
      <c r="F12" s="31">
        <v>218.79069519042969</v>
      </c>
      <c r="G12" s="31">
        <v>221.010986328125</v>
      </c>
      <c r="H12" s="31">
        <v>225.53683471679688</v>
      </c>
      <c r="I12" s="31">
        <v>231.19564819335938</v>
      </c>
      <c r="J12" s="31">
        <v>232.82417297363281</v>
      </c>
      <c r="K12" s="31">
        <v>233.53060913085938</v>
      </c>
      <c r="L12" s="31">
        <v>232.94285583496094</v>
      </c>
      <c r="M12" s="31">
        <v>232.19265747070313</v>
      </c>
      <c r="N12" s="31">
        <v>233.52830505371094</v>
      </c>
      <c r="O12" s="29">
        <f t="shared" si="0"/>
        <v>1.3357813609171456E-2</v>
      </c>
      <c r="P12" s="29">
        <f t="shared" si="1"/>
        <v>3.0243083056408731E-3</v>
      </c>
    </row>
    <row r="13" spans="1:17" ht="18" customHeight="1" x14ac:dyDescent="0.2">
      <c r="A13" s="195"/>
      <c r="B13" s="37" t="s">
        <v>56</v>
      </c>
      <c r="C13" s="31"/>
      <c r="D13" s="31">
        <v>56.849998474121094</v>
      </c>
      <c r="E13" s="31">
        <v>52.012500762939453</v>
      </c>
      <c r="F13" s="31">
        <v>53.639533996582031</v>
      </c>
      <c r="G13" s="31">
        <v>52.439559936523438</v>
      </c>
      <c r="H13" s="31">
        <v>53.073684692382813</v>
      </c>
      <c r="I13" s="31">
        <v>53.684783935546875</v>
      </c>
      <c r="J13" s="31">
        <v>56.813186645507813</v>
      </c>
      <c r="K13" s="31">
        <v>55.724491119384766</v>
      </c>
      <c r="L13" s="31">
        <v>57.952381134033203</v>
      </c>
      <c r="M13" s="31">
        <v>58.944953918457031</v>
      </c>
      <c r="N13" s="31">
        <v>61.774337768554688</v>
      </c>
      <c r="O13" s="29">
        <f t="shared" si="0"/>
        <v>8.6619866782849983E-2</v>
      </c>
      <c r="P13" s="29">
        <f t="shared" si="1"/>
        <v>8.7323936852944511E-2</v>
      </c>
    </row>
    <row r="14" spans="1:17" ht="18" customHeight="1" x14ac:dyDescent="0.2">
      <c r="A14" s="195"/>
      <c r="B14" s="37" t="s">
        <v>57</v>
      </c>
      <c r="C14" s="31"/>
      <c r="D14" s="31">
        <v>189.06503295898438</v>
      </c>
      <c r="E14" s="31">
        <v>180.41061401367188</v>
      </c>
      <c r="F14" s="31">
        <v>181.93136596679688</v>
      </c>
      <c r="G14" s="31">
        <v>181.59782409667969</v>
      </c>
      <c r="H14" s="31">
        <v>183.50254821777344</v>
      </c>
      <c r="I14" s="31">
        <v>185.62451171875</v>
      </c>
      <c r="J14" s="31">
        <v>190.19172668457031</v>
      </c>
      <c r="K14" s="31">
        <v>190.30389404296875</v>
      </c>
      <c r="L14" s="31">
        <v>189.42527770996094</v>
      </c>
      <c r="M14" s="31">
        <v>188.87118530273438</v>
      </c>
      <c r="N14" s="31">
        <v>189.005126953125</v>
      </c>
      <c r="O14" s="29">
        <f t="shared" si="0"/>
        <v>-3.1685396776870401E-4</v>
      </c>
      <c r="P14" s="29">
        <f t="shared" si="1"/>
        <v>-6.2389660798088638E-3</v>
      </c>
    </row>
    <row r="15" spans="1:17" ht="18" customHeight="1" x14ac:dyDescent="0.2">
      <c r="A15" s="195"/>
      <c r="B15" s="37" t="s">
        <v>58</v>
      </c>
      <c r="C15" s="33"/>
      <c r="D15" s="33">
        <v>220.21820068359375</v>
      </c>
      <c r="E15" s="33">
        <v>220.98088073730469</v>
      </c>
      <c r="F15" s="33">
        <v>225.40939331054688</v>
      </c>
      <c r="G15" s="33">
        <v>259.3201904296875</v>
      </c>
      <c r="H15" s="33">
        <v>243.45817565917969</v>
      </c>
      <c r="I15" s="33">
        <v>268.920654296875</v>
      </c>
      <c r="J15" s="33">
        <v>269.47882080078125</v>
      </c>
      <c r="K15" s="33">
        <v>268.0076904296875</v>
      </c>
      <c r="L15" s="33">
        <v>235.54905700683594</v>
      </c>
      <c r="M15" s="33">
        <v>214.30604553222656</v>
      </c>
      <c r="N15" s="33">
        <v>212.32797241210938</v>
      </c>
      <c r="O15" s="29">
        <f t="shared" si="0"/>
        <v>-3.5829137859594712E-2</v>
      </c>
      <c r="P15" s="29">
        <f t="shared" si="1"/>
        <v>-0.21207918388110369</v>
      </c>
    </row>
    <row r="16" spans="1:17" ht="18" customHeight="1" x14ac:dyDescent="0.2">
      <c r="A16" s="195"/>
      <c r="B16" s="37" t="s">
        <v>63</v>
      </c>
      <c r="C16" s="33"/>
      <c r="D16" s="33">
        <f ca="1">378.19278125*OFFSET(D$112,MATCH($N$1,$C$112:$C$113,0)-1,0)</f>
        <v>378.19278125</v>
      </c>
      <c r="E16" s="33">
        <f ca="1">372.8226875*OFFSET(E$112,MATCH($N$1,$C$112:$C$113,0)-1,0)</f>
        <v>372.82268749999997</v>
      </c>
      <c r="F16" s="33">
        <f ca="1">405.35075*OFFSET(F$112,MATCH($N$1,$C$112:$C$113,0)-1,0)</f>
        <v>405.35075000000001</v>
      </c>
      <c r="G16" s="33">
        <f ca="1">455.10296875*OFFSET(G$112,MATCH($N$1,$C$112:$C$113,0)-1,0)</f>
        <v>455.10296875</v>
      </c>
      <c r="H16" s="33">
        <f ca="1">423.05128125*OFFSET(H$112,MATCH($N$1,$C$112:$C$113,0)-1,0)</f>
        <v>423.05128124999999</v>
      </c>
      <c r="I16" s="33">
        <f ca="1">491.20859375*OFFSET(I$112,MATCH($N$1,$C$112:$C$113,0)-1,0)</f>
        <v>491.20859374999998</v>
      </c>
      <c r="J16" s="33">
        <f ca="1">552.6945*OFFSET(J$112,MATCH($N$1,$C$112:$C$113,0)-1,0)</f>
        <v>552.69449999999995</v>
      </c>
      <c r="K16" s="33">
        <f ca="1">615.3236875*OFFSET(K$112,MATCH($N$1,$C$112:$C$113,0)-1,0)</f>
        <v>615.32368750000001</v>
      </c>
      <c r="L16" s="33">
        <f ca="1">574.0240625*OFFSET(L$112,MATCH($N$1,$C$112:$C$113,0)-1,0)</f>
        <v>574.02406250000001</v>
      </c>
      <c r="M16" s="33">
        <f ca="1">407.5209375*OFFSET(M$112,MATCH($N$1,$C$112:$C$113,0)-1,0)</f>
        <v>407.5209375</v>
      </c>
      <c r="N16" s="33">
        <v>537.21887500000003</v>
      </c>
      <c r="O16" s="29">
        <f t="shared" ca="1" si="0"/>
        <v>0.42048950068372049</v>
      </c>
      <c r="P16" s="29">
        <f t="shared" ca="1" si="1"/>
        <v>-2.8000323867887096E-2</v>
      </c>
    </row>
    <row r="17" spans="1:16" ht="18" customHeight="1" x14ac:dyDescent="0.2">
      <c r="A17" s="195"/>
      <c r="B17" s="37" t="s">
        <v>60</v>
      </c>
      <c r="C17" s="31"/>
      <c r="D17" s="31">
        <v>175.83749389648438</v>
      </c>
      <c r="E17" s="31">
        <v>174.82499694824219</v>
      </c>
      <c r="F17" s="31">
        <v>170.30232238769531</v>
      </c>
      <c r="G17" s="31">
        <v>176.17582702636719</v>
      </c>
      <c r="H17" s="31">
        <v>171.12631225585938</v>
      </c>
      <c r="I17" s="31">
        <v>183.31521606445313</v>
      </c>
      <c r="J17" s="31">
        <v>192.29670715332031</v>
      </c>
      <c r="K17" s="31">
        <v>185.81632995605469</v>
      </c>
      <c r="L17" s="31">
        <v>189.971435546875</v>
      </c>
      <c r="M17" s="31">
        <v>176.1192626953125</v>
      </c>
      <c r="N17" s="31">
        <v>181.66981506347656</v>
      </c>
      <c r="O17" s="29">
        <f t="shared" si="0"/>
        <v>3.316881421447964E-2</v>
      </c>
      <c r="P17" s="29">
        <f t="shared" si="1"/>
        <v>-5.5262995644386206E-2</v>
      </c>
    </row>
    <row r="18" spans="1:16" ht="18" customHeight="1" x14ac:dyDescent="0.2">
      <c r="A18" s="195"/>
      <c r="B18" s="37" t="s">
        <v>64</v>
      </c>
      <c r="C18" s="31"/>
      <c r="D18" s="31">
        <v>26.600000381469727</v>
      </c>
      <c r="E18" s="31">
        <v>27.387500762939453</v>
      </c>
      <c r="F18" s="31">
        <v>28.511627197265625</v>
      </c>
      <c r="G18" s="31">
        <v>29.681318283081055</v>
      </c>
      <c r="H18" s="31">
        <v>29.347368240356445</v>
      </c>
      <c r="I18" s="31">
        <v>28.663043975830078</v>
      </c>
      <c r="J18" s="31">
        <v>29.186813354492188</v>
      </c>
      <c r="K18" s="31">
        <v>29.26530647277832</v>
      </c>
      <c r="L18" s="31">
        <v>30.489999771118164</v>
      </c>
      <c r="M18" s="31">
        <v>30.836734771728516</v>
      </c>
      <c r="N18" s="31">
        <v>31.526882171630859</v>
      </c>
      <c r="O18" s="29">
        <f t="shared" si="0"/>
        <v>0.18522111727461971</v>
      </c>
      <c r="P18" s="29">
        <f t="shared" si="1"/>
        <v>8.0175550126595385E-2</v>
      </c>
    </row>
    <row r="19" spans="1:16" ht="18" customHeight="1" x14ac:dyDescent="0.2">
      <c r="A19" s="195"/>
      <c r="B19" s="37" t="s">
        <v>65</v>
      </c>
      <c r="C19" s="38"/>
      <c r="D19" s="38">
        <v>1.2523961067199707</v>
      </c>
      <c r="E19" s="38">
        <v>1.2640119791030884</v>
      </c>
      <c r="F19" s="38">
        <v>1.3235838413238525</v>
      </c>
      <c r="G19" s="38">
        <v>1.4719396829605103</v>
      </c>
      <c r="H19" s="38">
        <v>1.4226810932159424</v>
      </c>
      <c r="I19" s="38">
        <v>1.4669848680496216</v>
      </c>
      <c r="J19" s="38">
        <v>1.4013699293136597</v>
      </c>
      <c r="K19" s="38">
        <v>1.4423258304595947</v>
      </c>
      <c r="L19" s="38">
        <v>1.2399182319641113</v>
      </c>
      <c r="M19" s="38">
        <v>1.2168234586715698</v>
      </c>
      <c r="N19" s="38">
        <v>1.1687575578689575</v>
      </c>
      <c r="O19" s="29">
        <f t="shared" si="0"/>
        <v>-6.6782824061999688E-2</v>
      </c>
      <c r="P19" s="29">
        <f t="shared" si="1"/>
        <v>-0.16598926991292534</v>
      </c>
    </row>
    <row r="20" spans="1:16" ht="18" customHeight="1" x14ac:dyDescent="0.2">
      <c r="A20" s="196"/>
      <c r="B20" s="39" t="s">
        <v>28</v>
      </c>
      <c r="C20" s="40"/>
      <c r="D20" s="40">
        <f ca="1">1717*OFFSET(D$112,MATCH($N$1,$C$112:$C$113,0)-1,0)</f>
        <v>1717</v>
      </c>
      <c r="E20" s="40">
        <f ca="1">1687*OFFSET(E$112,MATCH($N$1,$C$112:$C$113,0)-1,0)</f>
        <v>1687</v>
      </c>
      <c r="F20" s="40">
        <f ca="1">1798*OFFSET(F$112,MATCH($N$1,$C$112:$C$113,0)-1,0)</f>
        <v>1798</v>
      </c>
      <c r="G20" s="40">
        <f ca="1">1755*OFFSET(G$112,MATCH($N$1,$C$112:$C$113,0)-1,0)</f>
        <v>1755</v>
      </c>
      <c r="H20" s="40">
        <f ca="1">1738*OFFSET(H$112,MATCH($N$1,$C$112:$C$113,0)-1,0)</f>
        <v>1738</v>
      </c>
      <c r="I20" s="40">
        <f ca="1">1827*OFFSET(I$112,MATCH($N$1,$C$112:$C$113,0)-1,0)</f>
        <v>1827</v>
      </c>
      <c r="J20" s="40">
        <f ca="1">2051*OFFSET(J$112,MATCH($N$1,$C$112:$C$113,0)-1,0)</f>
        <v>2051</v>
      </c>
      <c r="K20" s="40">
        <f ca="1">2296*OFFSET(K$112,MATCH($N$1,$C$112:$C$113,0)-1,0)</f>
        <v>2296</v>
      </c>
      <c r="L20" s="40">
        <f ca="1">2437*OFFSET(L$112,MATCH($N$1,$C$112:$C$113,0)-1,0)</f>
        <v>2437</v>
      </c>
      <c r="M20" s="40">
        <f ca="1">1902*OFFSET(M$112,MATCH($N$1,$C$112:$C$113,0)-1,0)</f>
        <v>1902</v>
      </c>
      <c r="N20" s="40">
        <v>2530</v>
      </c>
      <c r="O20" s="34">
        <f t="shared" ca="1" si="0"/>
        <v>0.47350029120559117</v>
      </c>
      <c r="P20" s="34">
        <f t="shared" ca="1" si="1"/>
        <v>0.23354461238420282</v>
      </c>
    </row>
    <row r="21" spans="1:16" ht="18" customHeight="1" x14ac:dyDescent="0.2">
      <c r="A21" s="197" t="s">
        <v>29</v>
      </c>
      <c r="B21" s="35" t="s">
        <v>66</v>
      </c>
      <c r="C21" s="41"/>
      <c r="D21" s="41">
        <v>5.1660458075348066</v>
      </c>
      <c r="E21" s="41">
        <v>5.430499599920056</v>
      </c>
      <c r="F21" s="41">
        <v>5.6415424518585287</v>
      </c>
      <c r="G21" s="41">
        <v>6.2666534463306274</v>
      </c>
      <c r="H21" s="41">
        <v>5.9638409662085046</v>
      </c>
      <c r="I21" s="41">
        <v>5.9470561964116566</v>
      </c>
      <c r="J21" s="41">
        <v>5.7305747119514452</v>
      </c>
      <c r="K21" s="41">
        <v>5.8135616575902986</v>
      </c>
      <c r="L21" s="41">
        <v>5.0538158171697232</v>
      </c>
      <c r="M21" s="41">
        <v>4.8527414034923382</v>
      </c>
      <c r="N21" s="41">
        <v>4.6325468728666834</v>
      </c>
      <c r="O21" s="29">
        <f t="shared" si="0"/>
        <v>-0.10327026792716426</v>
      </c>
      <c r="P21" s="29">
        <f t="shared" si="1"/>
        <v>-0.19160867701362677</v>
      </c>
    </row>
    <row r="22" spans="1:16" ht="18" customHeight="1" x14ac:dyDescent="0.2">
      <c r="A22" s="197"/>
      <c r="B22" s="37" t="s">
        <v>67</v>
      </c>
      <c r="C22" s="38"/>
      <c r="D22" s="38">
        <f ca="1">8.87193350028151*OFFSET(D$112,MATCH($N$1,$C$112:$C$113,0)-1,0)</f>
        <v>8.8719335002815107</v>
      </c>
      <c r="E22" s="38">
        <f ca="1">9.16193947890301*OFFSET(E$112,MATCH($N$1,$C$112:$C$113,0)-1,0)</f>
        <v>9.16193947890301</v>
      </c>
      <c r="F22" s="38">
        <f ca="1">10.1451116585331*OFFSET(F$112,MATCH($N$1,$C$112:$C$113,0)-1,0)</f>
        <v>10.1451116585331</v>
      </c>
      <c r="G22" s="38">
        <f ca="1">10.9978809703434*OFFSET(G$112,MATCH($N$1,$C$112:$C$113,0)-1,0)</f>
        <v>10.997880970343401</v>
      </c>
      <c r="H22" s="38">
        <f ca="1">10.3632196992133*OFFSET(H$112,MATCH($N$1,$C$112:$C$113,0)-1,0)</f>
        <v>10.3632196992133</v>
      </c>
      <c r="I22" s="38">
        <f ca="1">10.8628514192394*OFFSET(I$112,MATCH($N$1,$C$112:$C$113,0)-1,0)</f>
        <v>10.8628514192394</v>
      </c>
      <c r="J22" s="38">
        <f ca="1">11.7532692020948*OFFSET(J$112,MATCH($N$1,$C$112:$C$113,0)-1,0)</f>
        <v>11.753269202094801</v>
      </c>
      <c r="K22" s="38">
        <f ca="1">13.3474610035325*OFFSET(K$112,MATCH($N$1,$C$112:$C$113,0)-1,0)</f>
        <v>13.3474610035325</v>
      </c>
      <c r="L22" s="38">
        <f ca="1">12.3159562740866*OFFSET(L$112,MATCH($N$1,$C$112:$C$113,0)-1,0)</f>
        <v>12.3159562740866</v>
      </c>
      <c r="M22" s="38">
        <f ca="1">9.22789518739396*OFFSET(M$112,MATCH($N$1,$C$112:$C$113,0)-1,0)</f>
        <v>9.2278951873939601</v>
      </c>
      <c r="N22" s="38">
        <v>11.720978593418124</v>
      </c>
      <c r="O22" s="29">
        <f t="shared" ca="1" si="0"/>
        <v>0.32113012265547436</v>
      </c>
      <c r="P22" s="29">
        <f t="shared" ca="1" si="1"/>
        <v>-2.7473725072953803E-3</v>
      </c>
    </row>
    <row r="23" spans="1:16" ht="18" customHeight="1" x14ac:dyDescent="0.2">
      <c r="A23" s="197"/>
      <c r="B23" s="37" t="s">
        <v>11</v>
      </c>
      <c r="C23" s="38"/>
      <c r="D23" s="38">
        <f ca="1">8.57207607639052*OFFSET(D$112,MATCH($N$1,$C$112:$C$113,0)-1,0)</f>
        <v>8.5720760763905197</v>
      </c>
      <c r="E23" s="38">
        <f ca="1">8.44953751420834*OFFSET(E$112,MATCH($N$1,$C$112:$C$113,0)-1,0)</f>
        <v>8.4495375142083393</v>
      </c>
      <c r="F23" s="38">
        <f ca="1">8.9222872330597*OFFSET(F$112,MATCH($N$1,$C$112:$C$113,0)-1,0)</f>
        <v>8.9222872330597003</v>
      </c>
      <c r="G23" s="38">
        <f ca="1">9.21007359399059*OFFSET(G$112,MATCH($N$1,$C$112:$C$113,0)-1,0)</f>
        <v>9.2100735939905896</v>
      </c>
      <c r="H23" s="38">
        <f ca="1">8.49421412064403*OFFSET(H$112,MATCH($N$1,$C$112:$C$113,0)-1,0)</f>
        <v>8.4942141206440294</v>
      </c>
      <c r="I23" s="38">
        <f ca="1">8.53350996169261*OFFSET(I$112,MATCH($N$1,$C$112:$C$113,0)-1,0)</f>
        <v>8.5335099616926104</v>
      </c>
      <c r="J23" s="38">
        <f ca="1">9.8513422329583*OFFSET(J$112,MATCH($N$1,$C$112:$C$113,0)-1,0)</f>
        <v>9.8513422329583005</v>
      </c>
      <c r="K23" s="38">
        <f ca="1">10.643000166925*OFFSET(K$112,MATCH($N$1,$C$112:$C$113,0)-1,0)</f>
        <v>10.643000166925001</v>
      </c>
      <c r="L23" s="38">
        <f ca="1">9.78699859676195*OFFSET(L$112,MATCH($N$1,$C$112:$C$113,0)-1,0)</f>
        <v>9.7869985967619506</v>
      </c>
      <c r="M23" s="38">
        <f ca="1">8.13111155219693*OFFSET(M$112,MATCH($N$1,$C$112:$C$113,0)-1,0)</f>
        <v>8.1311115521969306</v>
      </c>
      <c r="N23" s="38">
        <v>9.7796172222869</v>
      </c>
      <c r="O23" s="29">
        <f t="shared" ca="1" si="0"/>
        <v>0.14086915878199308</v>
      </c>
      <c r="P23" s="29">
        <f t="shared" ca="1" si="1"/>
        <v>-7.280734845596961E-3</v>
      </c>
    </row>
    <row r="24" spans="1:16" ht="18" customHeight="1" x14ac:dyDescent="0.2">
      <c r="A24" s="197"/>
      <c r="B24" s="37" t="s">
        <v>12</v>
      </c>
      <c r="C24" s="38"/>
      <c r="D24" s="38">
        <f ca="1">0.820763256398377*OFFSET(D$112,MATCH($N$1,$C$112:$C$113,0)-1,0)</f>
        <v>0.82076325639837699</v>
      </c>
      <c r="E24" s="38">
        <f ca="1">2.00861452202602*OFFSET(E$112,MATCH($N$1,$C$112:$C$113,0)-1,0)</f>
        <v>2.0086145220260199</v>
      </c>
      <c r="F24" s="38">
        <f ca="1">1.84698986200489*OFFSET(F$112,MATCH($N$1,$C$112:$C$113,0)-1,0)</f>
        <v>1.8469898620048899</v>
      </c>
      <c r="G24" s="38">
        <f ca="1">2.34691219015988*OFFSET(G$112,MATCH($N$1,$C$112:$C$113,0)-1,0)</f>
        <v>2.34691219015988</v>
      </c>
      <c r="H24" s="38">
        <f ca="1">2.42139723261856*OFFSET(H$112,MATCH($N$1,$C$112:$C$113,0)-1,0)</f>
        <v>2.4213972326185602</v>
      </c>
      <c r="I24" s="38">
        <f ca="1">2.56372982426285*OFFSET(I$112,MATCH($N$1,$C$112:$C$113,0)-1,0)</f>
        <v>2.5637298242628499</v>
      </c>
      <c r="J24" s="38">
        <f ca="1">3.4472478129243*OFFSET(J$112,MATCH($N$1,$C$112:$C$113,0)-1,0)</f>
        <v>3.4472478129242998</v>
      </c>
      <c r="K24" s="38">
        <f ca="1">3.10264258315109*OFFSET(K$112,MATCH($N$1,$C$112:$C$113,0)-1,0)</f>
        <v>3.10264258315109</v>
      </c>
      <c r="L24" s="38">
        <f ca="1">2.91624932564032*OFFSET(L$112,MATCH($N$1,$C$112:$C$113,0)-1,0)</f>
        <v>2.9162493256403201</v>
      </c>
      <c r="M24" s="38">
        <f ca="1">1.9812859904361*OFFSET(M$112,MATCH($N$1,$C$112:$C$113,0)-1,0)</f>
        <v>1.9812859904361</v>
      </c>
      <c r="N24" s="38">
        <v>2.7964205717410349</v>
      </c>
      <c r="O24" s="29">
        <f t="shared" ca="1" si="0"/>
        <v>2.407097661769261</v>
      </c>
      <c r="P24" s="29">
        <f t="shared" ca="1" si="1"/>
        <v>-0.1887961865529964</v>
      </c>
    </row>
    <row r="25" spans="1:16" ht="18" customHeight="1" x14ac:dyDescent="0.2">
      <c r="A25" s="197"/>
      <c r="B25" s="37" t="s">
        <v>68</v>
      </c>
      <c r="C25" s="33"/>
      <c r="D25" s="33">
        <f ca="1">52.27*OFFSET(D$112,MATCH($N$1,$C$112:$C$113,0)-1,0)</f>
        <v>52.27</v>
      </c>
      <c r="E25" s="33">
        <f ca="1">68.01*OFFSET(E$112,MATCH($N$1,$C$112:$C$113,0)-1,0)</f>
        <v>68.010000000000005</v>
      </c>
      <c r="F25" s="33">
        <f ca="1">66.7*OFFSET(F$112,MATCH($N$1,$C$112:$C$113,0)-1,0)</f>
        <v>66.7</v>
      </c>
      <c r="G25" s="33">
        <f ca="1">74.56*OFFSET(G$112,MATCH($N$1,$C$112:$C$113,0)-1,0)</f>
        <v>74.56</v>
      </c>
      <c r="H25" s="33">
        <f ca="1">77.6*OFFSET(H$112,MATCH($N$1,$C$112:$C$113,0)-1,0)</f>
        <v>77.599999999999994</v>
      </c>
      <c r="I25" s="33">
        <f ca="1">66.74*OFFSET(I$112,MATCH($N$1,$C$112:$C$113,0)-1,0)</f>
        <v>66.739999999999995</v>
      </c>
      <c r="J25" s="33">
        <f ca="1">81.53*OFFSET(J$112,MATCH($N$1,$C$112:$C$113,0)-1,0)</f>
        <v>81.53</v>
      </c>
      <c r="K25" s="33">
        <f ca="1">72.15*OFFSET(K$112,MATCH($N$1,$C$112:$C$113,0)-1,0)</f>
        <v>72.150000000000006</v>
      </c>
      <c r="L25" s="33">
        <f ca="1">83.98*OFFSET(L$112,MATCH($N$1,$C$112:$C$113,0)-1,0)</f>
        <v>83.98</v>
      </c>
      <c r="M25" s="33">
        <f ca="1">49.23*OFFSET(M$112,MATCH($N$1,$C$112:$C$113,0)-1,0)</f>
        <v>49.23</v>
      </c>
      <c r="N25" s="33">
        <v>62.53</v>
      </c>
      <c r="O25" s="29">
        <f t="shared" ca="1" si="0"/>
        <v>0.19628850200880041</v>
      </c>
      <c r="P25" s="29">
        <f t="shared" ca="1" si="1"/>
        <v>-0.23304305163743408</v>
      </c>
    </row>
    <row r="26" spans="1:16" ht="18" customHeight="1" x14ac:dyDescent="0.2">
      <c r="A26" s="198"/>
      <c r="B26" s="37" t="s">
        <v>69</v>
      </c>
      <c r="C26" s="33"/>
      <c r="D26" s="33">
        <f ca="1">4.84*OFFSET(D$112,MATCH($N$1,$C$112:$C$113,0)-1,0)</f>
        <v>4.84</v>
      </c>
      <c r="E26" s="33">
        <f ca="1">14.9*OFFSET(E$112,MATCH($N$1,$C$112:$C$113,0)-1,0)</f>
        <v>14.9</v>
      </c>
      <c r="F26" s="33">
        <f ca="1">12.14*OFFSET(F$112,MATCH($N$1,$C$112:$C$113,0)-1,0)</f>
        <v>12.14</v>
      </c>
      <c r="G26" s="33">
        <f ca="1">15.91*OFFSET(G$112,MATCH($N$1,$C$112:$C$113,0)-1,0)</f>
        <v>15.91</v>
      </c>
      <c r="H26" s="33">
        <f ca="1">18.12*OFFSET(H$112,MATCH($N$1,$C$112:$C$113,0)-1,0)</f>
        <v>18.12</v>
      </c>
      <c r="I26" s="33">
        <f ca="1">15.75*OFFSET(I$112,MATCH($N$1,$C$112:$C$113,0)-1,0)</f>
        <v>15.75</v>
      </c>
      <c r="J26" s="33">
        <f ca="1">23.91*OFFSET(J$112,MATCH($N$1,$C$112:$C$113,0)-1,0)</f>
        <v>23.91</v>
      </c>
      <c r="K26" s="33">
        <f ca="1">16.77*OFFSET(K$112,MATCH($N$1,$C$112:$C$113,0)-1,0)</f>
        <v>16.77</v>
      </c>
      <c r="L26" s="33">
        <f ca="1">19.88*OFFSET(L$112,MATCH($N$1,$C$112:$C$113,0)-1,0)</f>
        <v>19.88</v>
      </c>
      <c r="M26" s="33">
        <f ca="1">10.57*OFFSET(M$112,MATCH($N$1,$C$112:$C$113,0)-1,0)</f>
        <v>10.57</v>
      </c>
      <c r="N26" s="33">
        <v>14.92</v>
      </c>
      <c r="O26" s="34">
        <f t="shared" ca="1" si="0"/>
        <v>2.0826446280991737</v>
      </c>
      <c r="P26" s="34">
        <f t="shared" ca="1" si="1"/>
        <v>-0.37599330823923044</v>
      </c>
    </row>
    <row r="27" spans="1:16" ht="18" customHeight="1" x14ac:dyDescent="0.2">
      <c r="A27" s="187" t="s">
        <v>30</v>
      </c>
      <c r="B27" s="35" t="s">
        <v>63</v>
      </c>
      <c r="C27" s="36"/>
      <c r="D27" s="36">
        <f ca="1">378.2*OFFSET(D$112,MATCH($N$1,$C$112:$C$113,0)-1,0)</f>
        <v>378.2</v>
      </c>
      <c r="E27" s="36">
        <f ca="1">372.8*OFFSET(E$112,MATCH($N$1,$C$112:$C$113,0)-1,0)</f>
        <v>372.8</v>
      </c>
      <c r="F27" s="36">
        <f ca="1">405.4*OFFSET(F$112,MATCH($N$1,$C$112:$C$113,0)-1,0)</f>
        <v>405.4</v>
      </c>
      <c r="G27" s="36">
        <f ca="1">455.1*OFFSET(G$112,MATCH($N$1,$C$112:$C$113,0)-1,0)</f>
        <v>455.1</v>
      </c>
      <c r="H27" s="36">
        <f ca="1">423.1*OFFSET(H$112,MATCH($N$1,$C$112:$C$113,0)-1,0)</f>
        <v>423.1</v>
      </c>
      <c r="I27" s="36">
        <f ca="1">491.2*OFFSET(I$112,MATCH($N$1,$C$112:$C$113,0)-1,0)</f>
        <v>491.2</v>
      </c>
      <c r="J27" s="36">
        <f ca="1">552.7*OFFSET(J$112,MATCH($N$1,$C$112:$C$113,0)-1,0)</f>
        <v>552.70000000000005</v>
      </c>
      <c r="K27" s="36">
        <f ca="1">615.3*OFFSET(K$112,MATCH($N$1,$C$112:$C$113,0)-1,0)</f>
        <v>615.29999999999995</v>
      </c>
      <c r="L27" s="36">
        <f ca="1">574*OFFSET(L$112,MATCH($N$1,$C$112:$C$113,0)-1,0)</f>
        <v>574</v>
      </c>
      <c r="M27" s="36">
        <f ca="1">407.5*OFFSET(M$112,MATCH($N$1,$C$112:$C$113,0)-1,0)</f>
        <v>407.5</v>
      </c>
      <c r="N27" s="36">
        <v>537.20000000000005</v>
      </c>
      <c r="O27" s="29">
        <f t="shared" ca="1" si="0"/>
        <v>0.42041248016922278</v>
      </c>
      <c r="P27" s="29">
        <f t="shared" ca="1" si="1"/>
        <v>-2.8044146915143838E-2</v>
      </c>
    </row>
    <row r="28" spans="1:16" ht="18" customHeight="1" x14ac:dyDescent="0.2">
      <c r="A28" s="199"/>
      <c r="B28" s="37" t="s">
        <v>70</v>
      </c>
      <c r="C28" s="33"/>
      <c r="D28" s="33">
        <f ca="1">22.2*OFFSET(D$112,MATCH($N$1,$C$112:$C$113,0)-1,0)</f>
        <v>22.2</v>
      </c>
      <c r="E28" s="33">
        <f ca="1">52.7*OFFSET(E$112,MATCH($N$1,$C$112:$C$113,0)-1,0)</f>
        <v>52.7</v>
      </c>
      <c r="F28" s="33">
        <f ca="1">24.9*OFFSET(F$112,MATCH($N$1,$C$112:$C$113,0)-1,0)</f>
        <v>24.9</v>
      </c>
      <c r="G28" s="33">
        <f ca="1">23.1*OFFSET(G$112,MATCH($N$1,$C$112:$C$113,0)-1,0)</f>
        <v>23.1</v>
      </c>
      <c r="H28" s="33">
        <f ca="1">22.5*OFFSET(H$112,MATCH($N$1,$C$112:$C$113,0)-1,0)</f>
        <v>22.5</v>
      </c>
      <c r="I28" s="33">
        <f ca="1">10.6*OFFSET(I$112,MATCH($N$1,$C$112:$C$113,0)-1,0)</f>
        <v>10.6</v>
      </c>
      <c r="J28" s="33">
        <f ca="1">72.7*OFFSET(J$112,MATCH($N$1,$C$112:$C$113,0)-1,0)</f>
        <v>72.7</v>
      </c>
      <c r="K28" s="33">
        <f ca="1">18.4*OFFSET(K$112,MATCH($N$1,$C$112:$C$113,0)-1,0)</f>
        <v>18.399999999999999</v>
      </c>
      <c r="L28" s="33">
        <f ca="1">18.1*OFFSET(L$112,MATCH($N$1,$C$112:$C$113,0)-1,0)</f>
        <v>18.100000000000001</v>
      </c>
      <c r="M28" s="33">
        <f ca="1">39.1*OFFSET(M$112,MATCH($N$1,$C$112:$C$113,0)-1,0)</f>
        <v>39.1</v>
      </c>
      <c r="N28" s="33">
        <v>39.200000000000003</v>
      </c>
      <c r="O28" s="29">
        <f t="shared" ca="1" si="0"/>
        <v>0.76576576576576594</v>
      </c>
      <c r="P28" s="29">
        <f t="shared" ca="1" si="1"/>
        <v>-0.46079779917469049</v>
      </c>
    </row>
    <row r="29" spans="1:16" ht="18" customHeight="1" x14ac:dyDescent="0.2">
      <c r="A29" s="199"/>
      <c r="B29" s="42" t="s">
        <v>71</v>
      </c>
      <c r="C29" s="43"/>
      <c r="D29" s="43">
        <f ca="1">400.4*OFFSET(D$112,MATCH($N$1,$C$112:$C$113,0)-1,0)</f>
        <v>400.4</v>
      </c>
      <c r="E29" s="43">
        <f ca="1">425.6*OFFSET(E$112,MATCH($N$1,$C$112:$C$113,0)-1,0)</f>
        <v>425.6</v>
      </c>
      <c r="F29" s="43">
        <f ca="1">430.3*OFFSET(F$112,MATCH($N$1,$C$112:$C$113,0)-1,0)</f>
        <v>430.3</v>
      </c>
      <c r="G29" s="43">
        <f ca="1">478.2*OFFSET(G$112,MATCH($N$1,$C$112:$C$113,0)-1,0)</f>
        <v>478.2</v>
      </c>
      <c r="H29" s="43">
        <f ca="1">445.6*OFFSET(H$112,MATCH($N$1,$C$112:$C$113,0)-1,0)</f>
        <v>445.6</v>
      </c>
      <c r="I29" s="43">
        <f ca="1">501.8*OFFSET(I$112,MATCH($N$1,$C$112:$C$113,0)-1,0)</f>
        <v>501.8</v>
      </c>
      <c r="J29" s="43">
        <f ca="1">625.4*OFFSET(J$112,MATCH($N$1,$C$112:$C$113,0)-1,0)</f>
        <v>625.4</v>
      </c>
      <c r="K29" s="43">
        <f ca="1">633.7*OFFSET(K$112,MATCH($N$1,$C$112:$C$113,0)-1,0)</f>
        <v>633.70000000000005</v>
      </c>
      <c r="L29" s="43">
        <f ca="1">592.1*OFFSET(L$112,MATCH($N$1,$C$112:$C$113,0)-1,0)</f>
        <v>592.1</v>
      </c>
      <c r="M29" s="43">
        <f ca="1">446.6*OFFSET(M$112,MATCH($N$1,$C$112:$C$113,0)-1,0)</f>
        <v>446.6</v>
      </c>
      <c r="N29" s="43">
        <v>576.4</v>
      </c>
      <c r="O29" s="29">
        <f t="shared" ca="1" si="0"/>
        <v>0.43956043956043961</v>
      </c>
      <c r="P29" s="29">
        <f t="shared" ca="1" si="1"/>
        <v>-7.8349856092101058E-2</v>
      </c>
    </row>
    <row r="30" spans="1:16" ht="18" customHeight="1" x14ac:dyDescent="0.2">
      <c r="A30" s="199"/>
      <c r="B30" s="37" t="s">
        <v>72</v>
      </c>
      <c r="C30" s="33"/>
      <c r="D30" s="33">
        <f ca="1">73.1*OFFSET(D$112,MATCH($N$1,$C$112:$C$113,0)-1,0)</f>
        <v>73.099999999999994</v>
      </c>
      <c r="E30" s="33">
        <f ca="1">72.6*OFFSET(E$112,MATCH($N$1,$C$112:$C$113,0)-1,0)</f>
        <v>72.599999999999994</v>
      </c>
      <c r="F30" s="33">
        <f ca="1">68.2*OFFSET(F$112,MATCH($N$1,$C$112:$C$113,0)-1,0)</f>
        <v>68.2</v>
      </c>
      <c r="G30" s="33">
        <f ca="1">63.1*OFFSET(G$112,MATCH($N$1,$C$112:$C$113,0)-1,0)</f>
        <v>63.1</v>
      </c>
      <c r="H30" s="33">
        <f ca="1">43.2*OFFSET(H$112,MATCH($N$1,$C$112:$C$113,0)-1,0)</f>
        <v>43.2</v>
      </c>
      <c r="I30" s="33">
        <f ca="1">44.3*OFFSET(I$112,MATCH($N$1,$C$112:$C$113,0)-1,0)</f>
        <v>44.3</v>
      </c>
      <c r="J30" s="33">
        <f ca="1">55.9*OFFSET(J$112,MATCH($N$1,$C$112:$C$113,0)-1,0)</f>
        <v>55.9</v>
      </c>
      <c r="K30" s="33">
        <f ca="1">64.7*OFFSET(K$112,MATCH($N$1,$C$112:$C$113,0)-1,0)</f>
        <v>64.7</v>
      </c>
      <c r="L30" s="33">
        <f ca="1">63*OFFSET(L$112,MATCH($N$1,$C$112:$C$113,0)-1,0)</f>
        <v>63</v>
      </c>
      <c r="M30" s="33">
        <f ca="1">41.9*OFFSET(M$112,MATCH($N$1,$C$112:$C$113,0)-1,0)</f>
        <v>41.9</v>
      </c>
      <c r="N30" s="33">
        <v>54.1</v>
      </c>
      <c r="O30" s="29">
        <f t="shared" ca="1" si="0"/>
        <v>-0.25991792065663466</v>
      </c>
      <c r="P30" s="29">
        <f t="shared" ca="1" si="1"/>
        <v>-3.2200357781753078E-2</v>
      </c>
    </row>
    <row r="31" spans="1:16" ht="18" customHeight="1" x14ac:dyDescent="0.2">
      <c r="A31" s="199"/>
      <c r="B31" s="37" t="s">
        <v>73</v>
      </c>
      <c r="C31" s="33"/>
      <c r="D31" s="33">
        <f ca="1">122.8*OFFSET(D$112,MATCH($N$1,$C$112:$C$113,0)-1,0)</f>
        <v>122.8</v>
      </c>
      <c r="E31" s="33">
        <f ca="1">119.8*OFFSET(E$112,MATCH($N$1,$C$112:$C$113,0)-1,0)</f>
        <v>119.8</v>
      </c>
      <c r="F31" s="33">
        <f ca="1">127.2*OFFSET(F$112,MATCH($N$1,$C$112:$C$113,0)-1,0)</f>
        <v>127.2</v>
      </c>
      <c r="G31" s="33">
        <f ca="1">133.8*OFFSET(G$112,MATCH($N$1,$C$112:$C$113,0)-1,0)</f>
        <v>133.80000000000001</v>
      </c>
      <c r="H31" s="33">
        <f ca="1">127.9*OFFSET(H$112,MATCH($N$1,$C$112:$C$113,0)-1,0)</f>
        <v>127.9</v>
      </c>
      <c r="I31" s="33">
        <f ca="1">156.8*OFFSET(I$112,MATCH($N$1,$C$112:$C$113,0)-1,0)</f>
        <v>156.80000000000001</v>
      </c>
      <c r="J31" s="33">
        <f ca="1">193.5*OFFSET(J$112,MATCH($N$1,$C$112:$C$113,0)-1,0)</f>
        <v>193.5</v>
      </c>
      <c r="K31" s="33">
        <f ca="1">193.9*OFFSET(K$112,MATCH($N$1,$C$112:$C$113,0)-1,0)</f>
        <v>193.9</v>
      </c>
      <c r="L31" s="33">
        <f ca="1">201.1*OFFSET(L$112,MATCH($N$1,$C$112:$C$113,0)-1,0)</f>
        <v>201.1</v>
      </c>
      <c r="M31" s="33">
        <f ca="1">157*OFFSET(M$112,MATCH($N$1,$C$112:$C$113,0)-1,0)</f>
        <v>157</v>
      </c>
      <c r="N31" s="33">
        <v>207.70000000000002</v>
      </c>
      <c r="O31" s="29">
        <f t="shared" ca="1" si="0"/>
        <v>0.69136807817589596</v>
      </c>
      <c r="P31" s="29">
        <f t="shared" ca="1" si="1"/>
        <v>7.3385012919896728E-2</v>
      </c>
    </row>
    <row r="32" spans="1:16" ht="18" customHeight="1" x14ac:dyDescent="0.2">
      <c r="A32" s="199"/>
      <c r="B32" s="37" t="s">
        <v>74</v>
      </c>
      <c r="C32" s="33"/>
      <c r="D32" s="33">
        <f ca="1">65.2*OFFSET(D$112,MATCH($N$1,$C$112:$C$113,0)-1,0)</f>
        <v>65.2</v>
      </c>
      <c r="E32" s="33">
        <f ca="1">65.8*OFFSET(E$112,MATCH($N$1,$C$112:$C$113,0)-1,0)</f>
        <v>65.8</v>
      </c>
      <c r="F32" s="33">
        <f ca="1">66.5*OFFSET(F$112,MATCH($N$1,$C$112:$C$113,0)-1,0)</f>
        <v>66.5</v>
      </c>
      <c r="G32" s="33">
        <f ca="1">71.9*OFFSET(G$112,MATCH($N$1,$C$112:$C$113,0)-1,0)</f>
        <v>71.900000000000006</v>
      </c>
      <c r="H32" s="33">
        <f ca="1">71.7*OFFSET(H$112,MATCH($N$1,$C$112:$C$113,0)-1,0)</f>
        <v>71.7</v>
      </c>
      <c r="I32" s="33">
        <f ca="1">83.7*OFFSET(I$112,MATCH($N$1,$C$112:$C$113,0)-1,0)</f>
        <v>83.7</v>
      </c>
      <c r="J32" s="33">
        <f ca="1">93.9*OFFSET(J$112,MATCH($N$1,$C$112:$C$113,0)-1,0)</f>
        <v>93.9</v>
      </c>
      <c r="K32" s="33">
        <f ca="1">100*OFFSET(K$112,MATCH($N$1,$C$112:$C$113,0)-1,0)</f>
        <v>100</v>
      </c>
      <c r="L32" s="33">
        <f ca="1">85.2*OFFSET(L$112,MATCH($N$1,$C$112:$C$113,0)-1,0)</f>
        <v>85.2</v>
      </c>
      <c r="M32" s="33">
        <f ca="1">76*OFFSET(M$112,MATCH($N$1,$C$112:$C$113,0)-1,0)</f>
        <v>76</v>
      </c>
      <c r="N32" s="33">
        <v>100.2</v>
      </c>
      <c r="O32" s="29">
        <f t="shared" ca="1" si="0"/>
        <v>0.53680981595092025</v>
      </c>
      <c r="P32" s="29">
        <f t="shared" ca="1" si="1"/>
        <v>6.7092651757188468E-2</v>
      </c>
    </row>
    <row r="33" spans="1:16" ht="18" customHeight="1" x14ac:dyDescent="0.2">
      <c r="A33" s="199"/>
      <c r="B33" s="37" t="s">
        <v>75</v>
      </c>
      <c r="C33" s="33"/>
      <c r="D33" s="33">
        <f ca="1">261.1*OFFSET(D$112,MATCH($N$1,$C$112:$C$113,0)-1,0)</f>
        <v>261.10000000000002</v>
      </c>
      <c r="E33" s="33">
        <f ca="1">258.2*OFFSET(E$112,MATCH($N$1,$C$112:$C$113,0)-1,0)</f>
        <v>258.2</v>
      </c>
      <c r="F33" s="33">
        <f ca="1">261.9*OFFSET(F$112,MATCH($N$1,$C$112:$C$113,0)-1,0)</f>
        <v>261.89999999999998</v>
      </c>
      <c r="G33" s="33">
        <f ca="1">268.9*OFFSET(G$112,MATCH($N$1,$C$112:$C$113,0)-1,0)</f>
        <v>268.89999999999998</v>
      </c>
      <c r="H33" s="33">
        <f ca="1">242.8*OFFSET(H$112,MATCH($N$1,$C$112:$C$113,0)-1,0)</f>
        <v>242.8</v>
      </c>
      <c r="I33" s="33">
        <f ca="1">284.8*OFFSET(I$112,MATCH($N$1,$C$112:$C$113,0)-1,0)</f>
        <v>284.8</v>
      </c>
      <c r="J33" s="33">
        <f ca="1">343.4*OFFSET(J$112,MATCH($N$1,$C$112:$C$113,0)-1,0)</f>
        <v>343.4</v>
      </c>
      <c r="K33" s="33">
        <f ca="1">358.6*OFFSET(K$112,MATCH($N$1,$C$112:$C$113,0)-1,0)</f>
        <v>358.6</v>
      </c>
      <c r="L33" s="33">
        <f ca="1">349.2*OFFSET(L$112,MATCH($N$1,$C$112:$C$113,0)-1,0)</f>
        <v>349.2</v>
      </c>
      <c r="M33" s="33">
        <f ca="1">275*OFFSET(M$112,MATCH($N$1,$C$112:$C$113,0)-1,0)</f>
        <v>275</v>
      </c>
      <c r="N33" s="33">
        <v>361.90000000000003</v>
      </c>
      <c r="O33" s="29">
        <f t="shared" ca="1" si="0"/>
        <v>0.386058981233244</v>
      </c>
      <c r="P33" s="29">
        <f t="shared" ca="1" si="1"/>
        <v>5.3873034362259924E-2</v>
      </c>
    </row>
    <row r="34" spans="1:16" ht="18" customHeight="1" x14ac:dyDescent="0.2">
      <c r="A34" s="199"/>
      <c r="B34" s="37" t="s">
        <v>76</v>
      </c>
      <c r="C34" s="33"/>
      <c r="D34" s="33">
        <f ca="1">104.3*OFFSET(D$112,MATCH($N$1,$C$112:$C$113,0)-1,0)</f>
        <v>104.3</v>
      </c>
      <c r="E34" s="33">
        <f ca="1">85.7*OFFSET(E$112,MATCH($N$1,$C$112:$C$113,0)-1,0)</f>
        <v>85.7</v>
      </c>
      <c r="F34" s="33">
        <f ca="1">94.6*OFFSET(F$112,MATCH($N$1,$C$112:$C$113,0)-1,0)</f>
        <v>94.6</v>
      </c>
      <c r="G34" s="33">
        <f ca="1">112.3*OFFSET(G$112,MATCH($N$1,$C$112:$C$113,0)-1,0)</f>
        <v>112.3</v>
      </c>
      <c r="H34" s="33">
        <f ca="1">103.9*OFFSET(H$112,MATCH($N$1,$C$112:$C$113,0)-1,0)</f>
        <v>103.9</v>
      </c>
      <c r="I34" s="33">
        <f ca="1">101.1*OFFSET(I$112,MATCH($N$1,$C$112:$C$113,0)-1,0)</f>
        <v>101.1</v>
      </c>
      <c r="J34" s="33">
        <f ca="1">119.9*OFFSET(J$112,MATCH($N$1,$C$112:$C$113,0)-1,0)</f>
        <v>119.9</v>
      </c>
      <c r="K34" s="33">
        <f ca="1">132.1*OFFSET(K$112,MATCH($N$1,$C$112:$C$113,0)-1,0)</f>
        <v>132.1</v>
      </c>
      <c r="L34" s="33">
        <f ca="1">106.9*OFFSET(L$112,MATCH($N$1,$C$112:$C$113,0)-1,0)</f>
        <v>106.9</v>
      </c>
      <c r="M34" s="33">
        <f ca="1">84.1*OFFSET(M$112,MATCH($N$1,$C$112:$C$113,0)-1,0)</f>
        <v>84.1</v>
      </c>
      <c r="N34" s="33">
        <v>86.3</v>
      </c>
      <c r="O34" s="29">
        <f t="shared" ca="1" si="0"/>
        <v>-0.17257909875359539</v>
      </c>
      <c r="P34" s="29">
        <f t="shared" ca="1" si="1"/>
        <v>-0.28023352793994999</v>
      </c>
    </row>
    <row r="35" spans="1:16" ht="18" customHeight="1" x14ac:dyDescent="0.2">
      <c r="A35" s="199"/>
      <c r="B35" s="37" t="s">
        <v>77</v>
      </c>
      <c r="C35" s="33"/>
      <c r="D35" s="33">
        <f ca="1">365.4*OFFSET(D$112,MATCH($N$1,$C$112:$C$113,0)-1,0)</f>
        <v>365.4</v>
      </c>
      <c r="E35" s="33">
        <f ca="1">343.8*OFFSET(E$112,MATCH($N$1,$C$112:$C$113,0)-1,0)</f>
        <v>343.8</v>
      </c>
      <c r="F35" s="33">
        <f ca="1">356.5*OFFSET(F$112,MATCH($N$1,$C$112:$C$113,0)-1,0)</f>
        <v>356.5</v>
      </c>
      <c r="G35" s="33">
        <f ca="1">381.1*OFFSET(G$112,MATCH($N$1,$C$112:$C$113,0)-1,0)</f>
        <v>381.1</v>
      </c>
      <c r="H35" s="33">
        <f ca="1">346.8*OFFSET(H$112,MATCH($N$1,$C$112:$C$113,0)-1,0)</f>
        <v>346.8</v>
      </c>
      <c r="I35" s="33">
        <f ca="1">385.9*OFFSET(I$112,MATCH($N$1,$C$112:$C$113,0)-1,0)</f>
        <v>385.9</v>
      </c>
      <c r="J35" s="33">
        <f ca="1">463.3*OFFSET(J$112,MATCH($N$1,$C$112:$C$113,0)-1,0)</f>
        <v>463.3</v>
      </c>
      <c r="K35" s="33">
        <f ca="1">490.6*OFFSET(K$112,MATCH($N$1,$C$112:$C$113,0)-1,0)</f>
        <v>490.6</v>
      </c>
      <c r="L35" s="33">
        <f ca="1">456.2*OFFSET(L$112,MATCH($N$1,$C$112:$C$113,0)-1,0)</f>
        <v>456.2</v>
      </c>
      <c r="M35" s="33">
        <f ca="1">359.1*OFFSET(M$112,MATCH($N$1,$C$112:$C$113,0)-1,0)</f>
        <v>359.1</v>
      </c>
      <c r="N35" s="33">
        <v>448.2</v>
      </c>
      <c r="O35" s="29">
        <f t="shared" ca="1" si="0"/>
        <v>0.22660098522167493</v>
      </c>
      <c r="P35" s="29">
        <f t="shared" ca="1" si="1"/>
        <v>-3.259227282538317E-2</v>
      </c>
    </row>
    <row r="36" spans="1:16" ht="18" customHeight="1" x14ac:dyDescent="0.2">
      <c r="A36" s="199"/>
      <c r="B36" s="42" t="s">
        <v>78</v>
      </c>
      <c r="C36" s="43"/>
      <c r="D36" s="43">
        <f ca="1">157.8*OFFSET(D$112,MATCH($N$1,$C$112:$C$113,0)-1,0)</f>
        <v>157.80000000000001</v>
      </c>
      <c r="E36" s="43">
        <f ca="1">201.5*OFFSET(E$112,MATCH($N$1,$C$112:$C$113,0)-1,0)</f>
        <v>201.5</v>
      </c>
      <c r="F36" s="43">
        <f ca="1">201*OFFSET(F$112,MATCH($N$1,$C$112:$C$113,0)-1,0)</f>
        <v>201</v>
      </c>
      <c r="G36" s="43">
        <f ca="1">230.9*OFFSET(G$112,MATCH($N$1,$C$112:$C$113,0)-1,0)</f>
        <v>230.9</v>
      </c>
      <c r="H36" s="43">
        <f ca="1">226.7*OFFSET(H$112,MATCH($N$1,$C$112:$C$113,0)-1,0)</f>
        <v>226.7</v>
      </c>
      <c r="I36" s="43">
        <f ca="1">272.7*OFFSET(I$112,MATCH($N$1,$C$112:$C$113,0)-1,0)</f>
        <v>272.7</v>
      </c>
      <c r="J36" s="43">
        <f ca="1">355.6*OFFSET(J$112,MATCH($N$1,$C$112:$C$113,0)-1,0)</f>
        <v>355.6</v>
      </c>
      <c r="K36" s="43">
        <f ca="1">336.9*OFFSET(K$112,MATCH($N$1,$C$112:$C$113,0)-1,0)</f>
        <v>336.9</v>
      </c>
      <c r="L36" s="43">
        <f ca="1">337*OFFSET(L$112,MATCH($N$1,$C$112:$C$113,0)-1,0)</f>
        <v>337</v>
      </c>
      <c r="M36" s="43">
        <f ca="1">244.5*OFFSET(M$112,MATCH($N$1,$C$112:$C$113,0)-1,0)</f>
        <v>244.5</v>
      </c>
      <c r="N36" s="43">
        <v>335.9</v>
      </c>
      <c r="O36" s="29">
        <f t="shared" ca="1" si="0"/>
        <v>1.1286438529784535</v>
      </c>
      <c r="P36" s="29">
        <f t="shared" ca="1" si="1"/>
        <v>-5.5399325084364577E-2</v>
      </c>
    </row>
    <row r="37" spans="1:16" ht="18" customHeight="1" x14ac:dyDescent="0.2">
      <c r="A37" s="199"/>
      <c r="B37" s="42" t="s">
        <v>79</v>
      </c>
      <c r="C37" s="43"/>
      <c r="D37" s="43">
        <f ca="1">35*OFFSET(D$112,MATCH($N$1,$C$112:$C$113,0)-1,0)</f>
        <v>35</v>
      </c>
      <c r="E37" s="43">
        <f ca="1">81.7*OFFSET(E$112,MATCH($N$1,$C$112:$C$113,0)-1,0)</f>
        <v>81.7</v>
      </c>
      <c r="F37" s="43">
        <f ca="1">73.8*OFFSET(F$112,MATCH($N$1,$C$112:$C$113,0)-1,0)</f>
        <v>73.8</v>
      </c>
      <c r="G37" s="43">
        <f ca="1">97.1*OFFSET(G$112,MATCH($N$1,$C$112:$C$113,0)-1,0)</f>
        <v>97.1</v>
      </c>
      <c r="H37" s="43">
        <f ca="1">98.8*OFFSET(H$112,MATCH($N$1,$C$112:$C$113,0)-1,0)</f>
        <v>98.8</v>
      </c>
      <c r="I37" s="43">
        <f ca="1">115.9*OFFSET(I$112,MATCH($N$1,$C$112:$C$113,0)-1,0)</f>
        <v>115.9</v>
      </c>
      <c r="J37" s="43">
        <f ca="1">162.1*OFFSET(J$112,MATCH($N$1,$C$112:$C$113,0)-1,0)</f>
        <v>162.1</v>
      </c>
      <c r="K37" s="43">
        <f ca="1">143*OFFSET(K$112,MATCH($N$1,$C$112:$C$113,0)-1,0)</f>
        <v>143</v>
      </c>
      <c r="L37" s="43">
        <f ca="1">135.9*OFFSET(L$112,MATCH($N$1,$C$112:$C$113,0)-1,0)</f>
        <v>135.9</v>
      </c>
      <c r="M37" s="43">
        <f ca="1">87.5*OFFSET(M$112,MATCH($N$1,$C$112:$C$113,0)-1,0)</f>
        <v>87.5</v>
      </c>
      <c r="N37" s="43">
        <v>128.19999999999999</v>
      </c>
      <c r="O37" s="29">
        <f t="shared" ca="1" si="0"/>
        <v>2.6628571428571424</v>
      </c>
      <c r="P37" s="29">
        <f t="shared" ca="1" si="1"/>
        <v>-0.20913016656384953</v>
      </c>
    </row>
    <row r="38" spans="1:16" ht="18" customHeight="1" x14ac:dyDescent="0.2">
      <c r="A38" s="199"/>
      <c r="B38" s="37" t="s">
        <v>80</v>
      </c>
      <c r="C38" s="33"/>
      <c r="D38" s="33">
        <f ca="1">24.1*OFFSET(D$112,MATCH($N$1,$C$112:$C$113,0)-1,0)</f>
        <v>24.1</v>
      </c>
      <c r="E38" s="33">
        <f ca="1">19.7*OFFSET(E$112,MATCH($N$1,$C$112:$C$113,0)-1,0)</f>
        <v>19.7</v>
      </c>
      <c r="F38" s="33">
        <f ca="1">20.2*OFFSET(F$112,MATCH($N$1,$C$112:$C$113,0)-1,0)</f>
        <v>20.2</v>
      </c>
      <c r="G38" s="33">
        <f ca="1">23*OFFSET(G$112,MATCH($N$1,$C$112:$C$113,0)-1,0)</f>
        <v>23</v>
      </c>
      <c r="H38" s="33">
        <f ca="1">23.4*OFFSET(H$112,MATCH($N$1,$C$112:$C$113,0)-1,0)</f>
        <v>23.4</v>
      </c>
      <c r="I38" s="33">
        <f ca="1">24.6*OFFSET(I$112,MATCH($N$1,$C$112:$C$113,0)-1,0)</f>
        <v>24.6</v>
      </c>
      <c r="J38" s="33">
        <f ca="1">29*OFFSET(J$112,MATCH($N$1,$C$112:$C$113,0)-1,0)</f>
        <v>29</v>
      </c>
      <c r="K38" s="33">
        <f ca="1">25.3*OFFSET(K$112,MATCH($N$1,$C$112:$C$113,0)-1,0)</f>
        <v>25.3</v>
      </c>
      <c r="L38" s="33">
        <f ca="1">14.7*OFFSET(L$112,MATCH($N$1,$C$112:$C$113,0)-1,0)</f>
        <v>14.7</v>
      </c>
      <c r="M38" s="33">
        <f ca="1">27.7*OFFSET(M$112,MATCH($N$1,$C$112:$C$113,0)-1,0)</f>
        <v>27.7</v>
      </c>
      <c r="N38" s="33"/>
      <c r="O38" s="29" t="str">
        <f t="shared" si="0"/>
        <v/>
      </c>
      <c r="P38" s="29" t="str">
        <f t="shared" si="1"/>
        <v/>
      </c>
    </row>
    <row r="39" spans="1:16" ht="18" customHeight="1" x14ac:dyDescent="0.2">
      <c r="A39" s="199"/>
      <c r="B39" s="37" t="s">
        <v>81</v>
      </c>
      <c r="C39" s="33"/>
      <c r="D39" s="33">
        <f ca="1">4.6*OFFSET(D$112,MATCH($N$1,$C$112:$C$113,0)-1,0)</f>
        <v>4.5999999999999996</v>
      </c>
      <c r="E39" s="33">
        <f ca="1">4.2*OFFSET(E$112,MATCH($N$1,$C$112:$C$113,0)-1,0)</f>
        <v>4.2</v>
      </c>
      <c r="F39" s="33">
        <f ca="1">4.9*OFFSET(F$112,MATCH($N$1,$C$112:$C$113,0)-1,0)</f>
        <v>4.9000000000000004</v>
      </c>
      <c r="G39" s="33">
        <f ca="1">4.3*OFFSET(G$112,MATCH($N$1,$C$112:$C$113,0)-1,0)</f>
        <v>4.3</v>
      </c>
      <c r="H39" s="33">
        <f ca="1">3.6*OFFSET(H$112,MATCH($N$1,$C$112:$C$113,0)-1,0)</f>
        <v>3.6</v>
      </c>
      <c r="I39" s="33">
        <f ca="1">3*OFFSET(I$112,MATCH($N$1,$C$112:$C$113,0)-1,0)</f>
        <v>3</v>
      </c>
      <c r="J39" s="33">
        <f ca="1">3.6*OFFSET(J$112,MATCH($N$1,$C$112:$C$113,0)-1,0)</f>
        <v>3.6</v>
      </c>
      <c r="K39" s="33">
        <f ca="1">3.9*OFFSET(K$112,MATCH($N$1,$C$112:$C$113,0)-1,0)</f>
        <v>3.9</v>
      </c>
      <c r="L39" s="33">
        <f ca="1">4*OFFSET(L$112,MATCH($N$1,$C$112:$C$113,0)-1,0)</f>
        <v>4</v>
      </c>
      <c r="M39" s="33">
        <f ca="1">5.7*OFFSET(M$112,MATCH($N$1,$C$112:$C$113,0)-1,0)</f>
        <v>5.7</v>
      </c>
      <c r="N39" s="33"/>
      <c r="O39" s="29" t="str">
        <f t="shared" si="0"/>
        <v/>
      </c>
      <c r="P39" s="29" t="str">
        <f t="shared" si="1"/>
        <v/>
      </c>
    </row>
    <row r="40" spans="1:16" ht="18" customHeight="1" x14ac:dyDescent="0.2">
      <c r="A40" s="199"/>
      <c r="B40" s="37" t="s">
        <v>82</v>
      </c>
      <c r="C40" s="33"/>
      <c r="D40" s="33">
        <f ca="1">2.1*OFFSET(D$112,MATCH($N$1,$C$112:$C$113,0)-1,0)</f>
        <v>2.1</v>
      </c>
      <c r="E40" s="33">
        <f ca="1">1.1*OFFSET(E$112,MATCH($N$1,$C$112:$C$113,0)-1,0)</f>
        <v>1.1000000000000001</v>
      </c>
      <c r="F40" s="33">
        <f ca="1">3.6*OFFSET(F$112,MATCH($N$1,$C$112:$C$113,0)-1,0)</f>
        <v>3.6</v>
      </c>
      <c r="G40" s="33">
        <f ca="1">0.9*OFFSET(G$112,MATCH($N$1,$C$112:$C$113,0)-1,0)</f>
        <v>0.9</v>
      </c>
      <c r="H40" s="33">
        <f ca="1">3.6*OFFSET(H$112,MATCH($N$1,$C$112:$C$113,0)-1,0)</f>
        <v>3.6</v>
      </c>
      <c r="I40" s="33">
        <f ca="1">1.2*OFFSET(I$112,MATCH($N$1,$C$112:$C$113,0)-1,0)</f>
        <v>1.2</v>
      </c>
      <c r="J40" s="33">
        <f ca="1">5.2*OFFSET(J$112,MATCH($N$1,$C$112:$C$113,0)-1,0)</f>
        <v>5.2</v>
      </c>
      <c r="K40" s="33">
        <f ca="1">0.5*OFFSET(K$112,MATCH($N$1,$C$112:$C$113,0)-1,0)</f>
        <v>0.5</v>
      </c>
      <c r="L40" s="33">
        <f ca="1">2.8*OFFSET(L$112,MATCH($N$1,$C$112:$C$113,0)-1,0)</f>
        <v>2.8</v>
      </c>
      <c r="M40" s="33">
        <f ca="1">1.9*OFFSET(M$112,MATCH($N$1,$C$112:$C$113,0)-1,0)</f>
        <v>1.9</v>
      </c>
      <c r="N40" s="33"/>
      <c r="O40" s="29" t="str">
        <f t="shared" si="0"/>
        <v/>
      </c>
      <c r="P40" s="29" t="str">
        <f t="shared" si="1"/>
        <v/>
      </c>
    </row>
    <row r="41" spans="1:16" ht="18" customHeight="1" thickBot="1" x14ac:dyDescent="0.25">
      <c r="A41" s="200"/>
      <c r="B41" s="44" t="s">
        <v>83</v>
      </c>
      <c r="C41" s="45"/>
      <c r="D41" s="45">
        <f ca="1">4.2*OFFSET(D$112,MATCH($N$1,$C$112:$C$113,0)-1,0)</f>
        <v>4.2</v>
      </c>
      <c r="E41" s="45">
        <f ca="1">56.7*OFFSET(E$112,MATCH($N$1,$C$112:$C$113,0)-1,0)</f>
        <v>56.7</v>
      </c>
      <c r="F41" s="45">
        <f ca="1">45.1*OFFSET(F$112,MATCH($N$1,$C$112:$C$113,0)-1,0)</f>
        <v>45.1</v>
      </c>
      <c r="G41" s="45">
        <f ca="1">68.9*OFFSET(G$112,MATCH($N$1,$C$112:$C$113,0)-1,0)</f>
        <v>68.900000000000006</v>
      </c>
      <c r="H41" s="45">
        <f ca="1">68.3*OFFSET(H$112,MATCH($N$1,$C$112:$C$113,0)-1,0)</f>
        <v>68.3</v>
      </c>
      <c r="I41" s="45">
        <f ca="1">87.1*OFFSET(I$112,MATCH($N$1,$C$112:$C$113,0)-1,0)</f>
        <v>87.1</v>
      </c>
      <c r="J41" s="45">
        <f ca="1">124.3*OFFSET(J$112,MATCH($N$1,$C$112:$C$113,0)-1,0)</f>
        <v>124.3</v>
      </c>
      <c r="K41" s="45">
        <f ca="1">113.2*OFFSET(K$112,MATCH($N$1,$C$112:$C$113,0)-1,0)</f>
        <v>113.2</v>
      </c>
      <c r="L41" s="45">
        <f ca="1">114.3*OFFSET(L$112,MATCH($N$1,$C$112:$C$113,0)-1,0)</f>
        <v>114.3</v>
      </c>
      <c r="M41" s="45">
        <f ca="1">42.9*OFFSET(M$112,MATCH($N$1,$C$112:$C$113,0)-1,0)</f>
        <v>42.9</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22</v>
      </c>
      <c r="F46" s="94" t="s">
        <v>130</v>
      </c>
      <c r="G46" s="94" t="s">
        <v>130</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Pots and traps over 12m</v>
      </c>
      <c r="C48" s="96"/>
      <c r="D48" s="96"/>
      <c r="E48" s="96"/>
      <c r="F48" s="96"/>
      <c r="G48" s="96"/>
      <c r="K48" s="96" t="str">
        <f>$B24&amp;CHAR(10)&amp;$A$1</f>
        <v>Operating profit per kW day at sea (£)
Pots and traps over 12m</v>
      </c>
    </row>
    <row r="49" spans="1:11" s="82" customFormat="1" x14ac:dyDescent="0.2">
      <c r="A49" s="96" t="str">
        <f>$B22&amp;CHAR(10)&amp;$A$1</f>
        <v>Fishing income per kW day at sea (£)
Pots and traps over 12m</v>
      </c>
    </row>
    <row r="50" spans="1:11" s="82" customFormat="1" x14ac:dyDescent="0.2">
      <c r="A50" s="96" t="str">
        <f>$B20&amp;CHAR(10)&amp;$A$1</f>
        <v>Average price per tonne landed (£)
Pots and traps over 12m</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Pots and traps over 12m</v>
      </c>
      <c r="F62" s="96" t="str">
        <f>$B20&amp;CHAR(10)&amp;$A$1</f>
        <v>Average price per tonne landed (£)
Pots and traps over 12m</v>
      </c>
      <c r="K62" s="96" t="str">
        <f>"Average annual operating profit per vessel (£'000)"&amp;CHAR(10)&amp;$A$1</f>
        <v>Average annual operating profit per vessel (£'000)
Pots and traps over 12m</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Pots and traps over 12m</v>
      </c>
      <c r="F76" s="96" t="str">
        <f>"Top 5 landed species by value in "&amp;A77&amp;CHAR(10)&amp;A1</f>
        <v>Top 5 landed species by value in 2020
Pots and traps over 12m</v>
      </c>
    </row>
    <row r="77" spans="1:11" s="96" customFormat="1" x14ac:dyDescent="0.2">
      <c r="A77" s="96">
        <v>2020</v>
      </c>
      <c r="B77" s="96" t="s">
        <v>394</v>
      </c>
      <c r="C77" s="97">
        <v>0.61586027816741018</v>
      </c>
      <c r="D77" s="98">
        <v>12153634</v>
      </c>
      <c r="G77" s="96" t="s">
        <v>395</v>
      </c>
      <c r="H77" s="97">
        <v>0.59275456019604778</v>
      </c>
      <c r="I77" s="98">
        <v>12153634</v>
      </c>
      <c r="K77" s="96" t="s">
        <v>87</v>
      </c>
    </row>
    <row r="78" spans="1:11" s="96" customFormat="1" x14ac:dyDescent="0.2">
      <c r="B78" s="96" t="s">
        <v>396</v>
      </c>
      <c r="C78" s="97">
        <v>0.35330504401675183</v>
      </c>
      <c r="D78" s="98">
        <v>553960</v>
      </c>
      <c r="G78" s="96" t="s">
        <v>397</v>
      </c>
      <c r="H78" s="97">
        <v>0.23364085064719767</v>
      </c>
      <c r="I78" s="98">
        <v>553960</v>
      </c>
    </row>
    <row r="79" spans="1:11" s="96" customFormat="1" x14ac:dyDescent="0.2">
      <c r="B79" s="96" t="s">
        <v>398</v>
      </c>
      <c r="C79" s="97">
        <v>2.1035140272251018E-2</v>
      </c>
      <c r="D79" s="98">
        <v>3050596</v>
      </c>
      <c r="G79" s="96" t="s">
        <v>399</v>
      </c>
      <c r="H79" s="97">
        <v>0.14887459243449189</v>
      </c>
      <c r="I79" s="98">
        <v>3050596</v>
      </c>
    </row>
    <row r="80" spans="1:11" s="96" customFormat="1" x14ac:dyDescent="0.2">
      <c r="B80" s="96" t="s">
        <v>400</v>
      </c>
      <c r="C80" s="97">
        <v>3.8550075430652461E-3</v>
      </c>
      <c r="D80" s="98">
        <v>1692097</v>
      </c>
      <c r="G80" s="96" t="s">
        <v>401</v>
      </c>
      <c r="H80" s="97">
        <v>1.6723683011073562E-2</v>
      </c>
      <c r="I80" s="98">
        <v>1692097</v>
      </c>
    </row>
    <row r="81" spans="1:19" s="96" customFormat="1" x14ac:dyDescent="0.2">
      <c r="B81" s="96" t="s">
        <v>402</v>
      </c>
      <c r="C81" s="97">
        <v>1.9875374198097288E-3</v>
      </c>
      <c r="D81" s="98">
        <v>3689192</v>
      </c>
      <c r="G81" s="96" t="s">
        <v>403</v>
      </c>
      <c r="H81" s="97">
        <v>3.9467696989131914E-3</v>
      </c>
      <c r="I81" s="98">
        <v>3689192</v>
      </c>
    </row>
    <row r="82" spans="1:19" s="96" customFormat="1" x14ac:dyDescent="0.2">
      <c r="B82" s="96" t="s">
        <v>379</v>
      </c>
      <c r="C82" s="97">
        <v>3.9569925807119155E-3</v>
      </c>
      <c r="D82" s="98">
        <v>5920853</v>
      </c>
      <c r="G82" s="96" t="s">
        <v>379</v>
      </c>
      <c r="H82" s="97">
        <v>4.0595440122760396E-3</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104</v>
      </c>
      <c r="D92" s="102">
        <v>0.67663793251118509</v>
      </c>
      <c r="E92" s="102">
        <v>0.67977824862740532</v>
      </c>
      <c r="F92" s="102">
        <v>0.69243140028507311</v>
      </c>
      <c r="G92" s="102">
        <v>0.65413165043225752</v>
      </c>
      <c r="H92" s="102">
        <v>0.66033505100882339</v>
      </c>
      <c r="I92" s="102">
        <v>0.66462118650004021</v>
      </c>
      <c r="J92" s="102">
        <v>0.73255654206887422</v>
      </c>
      <c r="K92" s="102">
        <v>0.70205349729842748</v>
      </c>
      <c r="L92" s="102">
        <v>0.59275456019604778</v>
      </c>
      <c r="M92" s="102">
        <v>0.6541186506242036</v>
      </c>
      <c r="O92" s="96">
        <v>12153634</v>
      </c>
    </row>
    <row r="93" spans="1:19" s="96" customFormat="1" hidden="1" x14ac:dyDescent="0.2">
      <c r="B93" s="96">
        <v>2</v>
      </c>
      <c r="C93" s="96" t="s">
        <v>248</v>
      </c>
      <c r="D93" s="102">
        <v>0.10756021405013758</v>
      </c>
      <c r="E93" s="102">
        <v>0.1061580473915284</v>
      </c>
      <c r="F93" s="102">
        <v>0.12423942581482358</v>
      </c>
      <c r="G93" s="102">
        <v>0.14778877413796834</v>
      </c>
      <c r="H93" s="102">
        <v>0.15345906873446735</v>
      </c>
      <c r="I93" s="102">
        <v>0.15995747732680929</v>
      </c>
      <c r="J93" s="102">
        <v>0.14696891698413386</v>
      </c>
      <c r="K93" s="102">
        <v>0.17037452459899621</v>
      </c>
      <c r="L93" s="102">
        <v>0.23364085064719767</v>
      </c>
      <c r="M93" s="102">
        <v>0.1424786449092359</v>
      </c>
      <c r="O93" s="96">
        <v>553960</v>
      </c>
    </row>
    <row r="94" spans="1:19" s="96" customFormat="1" hidden="1" x14ac:dyDescent="0.2">
      <c r="B94" s="96">
        <v>3</v>
      </c>
      <c r="C94" s="96" t="s">
        <v>245</v>
      </c>
      <c r="D94" s="102">
        <v>0.16332224281775581</v>
      </c>
      <c r="E94" s="102">
        <v>0.15729277865887065</v>
      </c>
      <c r="F94" s="102">
        <v>0.15077805982380796</v>
      </c>
      <c r="G94" s="102">
        <v>0.16861370937041739</v>
      </c>
      <c r="H94" s="102">
        <v>0.16053082627641174</v>
      </c>
      <c r="I94" s="102">
        <v>0.15247632974456912</v>
      </c>
      <c r="J94" s="102">
        <v>0.10586523923883197</v>
      </c>
      <c r="K94" s="102">
        <v>0.11316095070897172</v>
      </c>
      <c r="L94" s="102">
        <v>0.14887459243449189</v>
      </c>
      <c r="M94" s="102">
        <v>0.18356202569754601</v>
      </c>
      <c r="O94" s="96">
        <v>3050596</v>
      </c>
    </row>
    <row r="95" spans="1:19" s="96" customFormat="1" hidden="1" x14ac:dyDescent="0.2">
      <c r="B95" s="96">
        <v>4</v>
      </c>
      <c r="C95" s="96" t="s">
        <v>102</v>
      </c>
      <c r="D95" s="102">
        <v>3.699152784599799E-2</v>
      </c>
      <c r="E95" s="102">
        <v>4.2932208388097436E-2</v>
      </c>
      <c r="F95" s="102">
        <v>2.5251044650217627E-2</v>
      </c>
      <c r="G95" s="102">
        <v>2.0866568835280486E-2</v>
      </c>
      <c r="H95" s="102">
        <v>1.950985059495219E-2</v>
      </c>
      <c r="I95" s="102">
        <v>1.4756666921675637E-2</v>
      </c>
      <c r="J95" s="102">
        <v>8.8699309508836963E-3</v>
      </c>
      <c r="K95" s="102">
        <v>1.0096175689268062E-2</v>
      </c>
      <c r="L95" s="102">
        <v>1.6723683011073562E-2</v>
      </c>
      <c r="M95" s="102">
        <v>1.5834486474049683E-2</v>
      </c>
      <c r="O95" s="96">
        <v>1692097</v>
      </c>
    </row>
    <row r="96" spans="1:19" s="96" customFormat="1" hidden="1" x14ac:dyDescent="0.2">
      <c r="B96" s="96">
        <v>5</v>
      </c>
      <c r="C96" s="96" t="s">
        <v>246</v>
      </c>
      <c r="D96" s="102"/>
      <c r="E96" s="102"/>
      <c r="F96" s="102"/>
      <c r="G96" s="102"/>
      <c r="H96" s="102"/>
      <c r="I96" s="102"/>
      <c r="J96" s="102"/>
      <c r="K96" s="102"/>
      <c r="L96" s="102">
        <v>3.9467696989131914E-3</v>
      </c>
      <c r="M96" s="102"/>
      <c r="O96" s="96">
        <v>3689192</v>
      </c>
    </row>
    <row r="97" spans="1:15" s="96" customFormat="1" hidden="1" x14ac:dyDescent="0.2">
      <c r="B97" s="96">
        <v>6</v>
      </c>
      <c r="C97" s="96" t="s">
        <v>100</v>
      </c>
      <c r="D97" s="102"/>
      <c r="E97" s="102"/>
      <c r="F97" s="102"/>
      <c r="G97" s="102">
        <v>3.9537384111871026E-3</v>
      </c>
      <c r="H97" s="102">
        <v>2.0776714371792703E-3</v>
      </c>
      <c r="I97" s="102">
        <v>4.4757795379987645E-3</v>
      </c>
      <c r="J97" s="102">
        <v>3.1649023692059859E-3</v>
      </c>
      <c r="K97" s="102">
        <v>2.3167284492398095E-3</v>
      </c>
      <c r="L97" s="102"/>
      <c r="M97" s="102">
        <v>1.8952454823939167E-3</v>
      </c>
      <c r="O97" s="96">
        <v>11115023</v>
      </c>
    </row>
    <row r="98" spans="1:15" s="96" customFormat="1" hidden="1" x14ac:dyDescent="0.2">
      <c r="B98" s="96">
        <v>7</v>
      </c>
      <c r="C98" s="96" t="s">
        <v>249</v>
      </c>
      <c r="D98" s="102">
        <v>3.7513630349211811E-3</v>
      </c>
      <c r="E98" s="102"/>
      <c r="F98" s="102">
        <v>3.1131278096198133E-3</v>
      </c>
      <c r="G98" s="102"/>
      <c r="H98" s="102"/>
      <c r="I98" s="102"/>
      <c r="J98" s="102"/>
      <c r="K98" s="102"/>
      <c r="L98" s="102"/>
      <c r="M98" s="102"/>
      <c r="O98" s="96">
        <v>2480382</v>
      </c>
    </row>
    <row r="99" spans="1:15" s="96" customFormat="1" hidden="1" x14ac:dyDescent="0.2">
      <c r="B99" s="96">
        <v>8</v>
      </c>
      <c r="C99" s="96" t="s">
        <v>101</v>
      </c>
      <c r="D99" s="102"/>
      <c r="E99" s="102">
        <v>5.2680328548295654E-3</v>
      </c>
      <c r="F99" s="102"/>
      <c r="G99" s="102"/>
      <c r="H99" s="102"/>
      <c r="I99" s="102"/>
      <c r="J99" s="102"/>
      <c r="K99" s="102"/>
      <c r="L99" s="102"/>
      <c r="M99" s="102"/>
      <c r="O99" s="96">
        <v>7434864</v>
      </c>
    </row>
    <row r="100" spans="1:15" s="96" customFormat="1" hidden="1" x14ac:dyDescent="0.2">
      <c r="B100" s="96">
        <v>9</v>
      </c>
      <c r="C100" s="96" t="s">
        <v>107</v>
      </c>
      <c r="D100" s="102">
        <v>1.1736719740002302E-2</v>
      </c>
      <c r="E100" s="102">
        <v>8.5706840792686215E-3</v>
      </c>
      <c r="F100" s="102">
        <v>4.1869416164579442E-3</v>
      </c>
      <c r="G100" s="102">
        <v>4.6455588128891988E-3</v>
      </c>
      <c r="H100" s="102">
        <v>4.087531948166064E-3</v>
      </c>
      <c r="I100" s="102">
        <v>3.7125599689069337E-3</v>
      </c>
      <c r="J100" s="102">
        <v>2.5744683880702711E-3</v>
      </c>
      <c r="K100" s="102">
        <v>1.9981232550967038E-3</v>
      </c>
      <c r="L100" s="102">
        <v>4.0595440122758791E-3</v>
      </c>
      <c r="M100" s="102">
        <v>2.1109468125709058E-3</v>
      </c>
      <c r="O100" s="96">
        <v>5920853</v>
      </c>
    </row>
    <row r="101" spans="1:15" s="96" customFormat="1" hidden="1" x14ac:dyDescent="0.2">
      <c r="B101" s="96">
        <v>10</v>
      </c>
      <c r="D101" s="102"/>
      <c r="E101" s="102"/>
      <c r="F101" s="102"/>
      <c r="G101" s="102"/>
      <c r="H101" s="102"/>
      <c r="I101" s="102"/>
      <c r="J101" s="102"/>
      <c r="K101" s="102"/>
      <c r="L101" s="102"/>
      <c r="M101" s="102"/>
      <c r="O101" s="96">
        <v>14393110</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10</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26</v>
      </c>
      <c r="D120" s="56">
        <v>53</v>
      </c>
      <c r="E120" s="56">
        <v>26</v>
      </c>
      <c r="F120" s="57">
        <v>109</v>
      </c>
    </row>
    <row r="121" spans="1:15" ht="18" customHeight="1" x14ac:dyDescent="0.2">
      <c r="A121" s="194" t="s">
        <v>27</v>
      </c>
      <c r="B121" s="35" t="s">
        <v>62</v>
      </c>
      <c r="C121" s="58">
        <v>17.229616165161133</v>
      </c>
      <c r="D121" s="58">
        <v>15.413396277517643</v>
      </c>
      <c r="E121" s="58">
        <v>13.90384578704834</v>
      </c>
      <c r="F121" s="59">
        <v>15.455963134765625</v>
      </c>
    </row>
    <row r="122" spans="1:15" ht="18" customHeight="1" x14ac:dyDescent="0.2">
      <c r="A122" s="195"/>
      <c r="B122" s="37" t="s">
        <v>55</v>
      </c>
      <c r="C122" s="60">
        <v>279.69232177734375</v>
      </c>
      <c r="D122" s="60">
        <v>211.30188506504274</v>
      </c>
      <c r="E122" s="60">
        <v>230.30769348144531</v>
      </c>
      <c r="F122" s="61">
        <v>232.19265747070313</v>
      </c>
    </row>
    <row r="123" spans="1:15" ht="18" customHeight="1" x14ac:dyDescent="0.2">
      <c r="A123" s="195"/>
      <c r="B123" s="37" t="s">
        <v>56</v>
      </c>
      <c r="C123" s="60">
        <v>95.192306518554688</v>
      </c>
      <c r="D123" s="60">
        <v>54.433963055880568</v>
      </c>
      <c r="E123" s="60">
        <v>27.884614944458008</v>
      </c>
      <c r="F123" s="61">
        <v>58.944953918457031</v>
      </c>
    </row>
    <row r="124" spans="1:15" ht="18" customHeight="1" x14ac:dyDescent="0.2">
      <c r="A124" s="195"/>
      <c r="B124" s="37" t="s">
        <v>57</v>
      </c>
      <c r="C124" s="60">
        <v>230.16244506835938</v>
      </c>
      <c r="D124" s="60">
        <v>180.56663484393425</v>
      </c>
      <c r="E124" s="60">
        <v>170.25949096679688</v>
      </c>
      <c r="F124" s="61">
        <v>188.87118530273438</v>
      </c>
    </row>
    <row r="125" spans="1:15" ht="18" customHeight="1" x14ac:dyDescent="0.2">
      <c r="A125" s="195"/>
      <c r="B125" s="37" t="s">
        <v>58</v>
      </c>
      <c r="C125" s="33">
        <v>494.78521728515625</v>
      </c>
      <c r="D125" s="33">
        <v>191.73836071086379</v>
      </c>
      <c r="E125" s="33">
        <v>65.619293212890625</v>
      </c>
      <c r="F125" s="62">
        <v>214.30604553222656</v>
      </c>
    </row>
    <row r="126" spans="1:15" ht="18" customHeight="1" x14ac:dyDescent="0.2">
      <c r="A126" s="195"/>
      <c r="B126" s="37" t="s">
        <v>63</v>
      </c>
      <c r="C126" s="33">
        <f ca="1">1157.7575*OFFSET($L$112,MATCH($N$1,$C$112:$C$113,0)-1,0)</f>
        <v>1157.7574999999999</v>
      </c>
      <c r="D126" s="33">
        <f ca="1">482.702561320755*OFFSET($L$112,MATCH($N$1,$C$112:$C$113,0)-1,0)</f>
        <v>482.70256132075502</v>
      </c>
      <c r="E126" s="33">
        <f ca="1">176.446171875*OFFSET($L$112,MATCH($N$1,$C$112:$C$113,0)-1,0)</f>
        <v>176.446171875</v>
      </c>
      <c r="F126" s="62">
        <f ca="1">407.5209375*OFFSET($L$112,MATCH($N$1,$C$112:$C$113,0)-1,0)</f>
        <v>407.5209375</v>
      </c>
    </row>
    <row r="127" spans="1:15" ht="18" customHeight="1" x14ac:dyDescent="0.2">
      <c r="A127" s="195"/>
      <c r="B127" s="37" t="s">
        <v>60</v>
      </c>
      <c r="C127" s="60">
        <v>226.46153259277344</v>
      </c>
      <c r="D127" s="60">
        <v>189.13207432009139</v>
      </c>
      <c r="E127" s="60">
        <v>155.19230651855469</v>
      </c>
      <c r="F127" s="61">
        <v>176.1192626953125</v>
      </c>
    </row>
    <row r="128" spans="1:15" ht="18" customHeight="1" x14ac:dyDescent="0.2">
      <c r="A128" s="195"/>
      <c r="B128" s="37" t="s">
        <v>64</v>
      </c>
      <c r="C128" s="60">
        <v>25.739130020141602</v>
      </c>
      <c r="D128" s="60">
        <v>32.004354800818099</v>
      </c>
      <c r="E128" s="60">
        <v>31.879999160766602</v>
      </c>
      <c r="F128" s="61">
        <v>30.836734771728516</v>
      </c>
    </row>
    <row r="129" spans="1:15" ht="18" customHeight="1" x14ac:dyDescent="0.2">
      <c r="A129" s="195"/>
      <c r="B129" s="37" t="s">
        <v>65</v>
      </c>
      <c r="C129" s="63">
        <v>2.1848533153533936</v>
      </c>
      <c r="D129" s="63">
        <v>1.0137802453663225</v>
      </c>
      <c r="E129" s="63">
        <v>0.42282569408416748</v>
      </c>
      <c r="F129" s="64">
        <v>1.2168234586715698</v>
      </c>
    </row>
    <row r="130" spans="1:15" ht="18" customHeight="1" x14ac:dyDescent="0.2">
      <c r="A130" s="196"/>
      <c r="B130" s="39" t="s">
        <v>28</v>
      </c>
      <c r="C130" s="40">
        <f ca="1">2339.91934187629*OFFSET($L$112,MATCH($N$1,$C$112:$C$113,0)-1,0)</f>
        <v>2339.9193418762902</v>
      </c>
      <c r="D130" s="40">
        <f ca="1">2517.50645792084*OFFSET($L$112,MATCH($N$1,$C$112:$C$113,0)-1,0)</f>
        <v>2517.5064579208401</v>
      </c>
      <c r="E130" s="40">
        <f ca="1">2688.93740294566*OFFSET($L$112,MATCH($N$1,$C$112:$C$113,0)-1,0)</f>
        <v>2688.9374029456599</v>
      </c>
      <c r="F130" s="65">
        <f ca="1">1902*OFFSET($L$112,MATCH($N$1,$C$112:$C$113,0)-1,0)</f>
        <v>1902</v>
      </c>
    </row>
    <row r="131" spans="1:15" ht="18" customHeight="1" x14ac:dyDescent="0.2">
      <c r="A131" s="205" t="s">
        <v>29</v>
      </c>
      <c r="B131" s="35" t="s">
        <v>66</v>
      </c>
      <c r="C131" s="66">
        <v>7.4457019394738841</v>
      </c>
      <c r="D131" s="66">
        <v>4.5456177132151341</v>
      </c>
      <c r="E131" s="66">
        <v>1.8335241305665666</v>
      </c>
      <c r="F131" s="67">
        <v>4.8527414034923382</v>
      </c>
    </row>
    <row r="132" spans="1:15" ht="18" customHeight="1" x14ac:dyDescent="0.2">
      <c r="A132" s="206"/>
      <c r="B132" s="37" t="s">
        <v>67</v>
      </c>
      <c r="C132" s="63">
        <f ca="1">17.4223419820207*OFFSET($L$112,MATCH($N$1,$C$112:$C$113,0)-1,0)</f>
        <v>17.422341982020701</v>
      </c>
      <c r="D132" s="63">
        <f ca="1">11.4436219482585*OFFSET($L$112,MATCH($N$1,$C$112:$C$113,0)-1,0)</f>
        <v>11.4436219482585</v>
      </c>
      <c r="E132" s="63">
        <f ca="1">4.93023161388387*OFFSET($L$112,MATCH($N$1,$C$112:$C$113,0)-1,0)</f>
        <v>4.93023161388387</v>
      </c>
      <c r="F132" s="64">
        <f ca="1">9.22789518739396*OFFSET($L$112,MATCH($N$1,$C$112:$C$113,0)-1,0)</f>
        <v>9.2278951873939601</v>
      </c>
    </row>
    <row r="133" spans="1:15" ht="18" customHeight="1" x14ac:dyDescent="0.2">
      <c r="A133" s="206"/>
      <c r="B133" s="37" t="s">
        <v>11</v>
      </c>
      <c r="C133" s="63">
        <f ca="1">12.5716671281103*OFFSET($L$112,MATCH($N$1,$C$112:$C$113,0)-1,0)</f>
        <v>12.571667128110301</v>
      </c>
      <c r="D133" s="63">
        <f ca="1">8.96348804660757*OFFSET($L$112,MATCH($N$1,$C$112:$C$113,0)-1,0)</f>
        <v>8.9634880466075693</v>
      </c>
      <c r="E133" s="63">
        <f ca="1">4.55803998761827*OFFSET($L$112,MATCH($N$1,$C$112:$C$113,0)-1,0)</f>
        <v>4.5580399876182698</v>
      </c>
      <c r="F133" s="64">
        <f ca="1">7.24660919695785*OFFSET($L$112,MATCH($N$1,$C$112:$C$113,0)-1,0)</f>
        <v>7.2466091969578503</v>
      </c>
    </row>
    <row r="134" spans="1:15" ht="18" customHeight="1" x14ac:dyDescent="0.2">
      <c r="A134" s="207"/>
      <c r="B134" s="39" t="s">
        <v>12</v>
      </c>
      <c r="C134" s="68">
        <f ca="1">4.85067485391048*OFFSET($L$112,MATCH($N$1,$C$112:$C$113,0)-1,0)</f>
        <v>4.8506748539104798</v>
      </c>
      <c r="D134" s="68">
        <f ca="1">2.48013390165088*OFFSET($L$112,MATCH($N$1,$C$112:$C$113,0)-1,0)</f>
        <v>2.4801339016508801</v>
      </c>
      <c r="E134" s="68">
        <f ca="1">0.372191626265596*OFFSET($L$112,MATCH($N$1,$C$112:$C$113,0)-1,0)</f>
        <v>0.37219162626559599</v>
      </c>
      <c r="F134" s="69">
        <f ca="1">1.9812859904361*OFFSET($L$112,MATCH($N$1,$C$112:$C$113,0)-1,0)</f>
        <v>1.9812859904361</v>
      </c>
    </row>
    <row r="135" spans="1:15" ht="18" customHeight="1" x14ac:dyDescent="0.2">
      <c r="A135" s="208" t="s">
        <v>49</v>
      </c>
      <c r="B135" s="37" t="s">
        <v>109</v>
      </c>
      <c r="C135" s="70">
        <f ca="1">78.8575*OFFSET($L$112,MATCH($N$1,$C$112:$C$113,0)-1,0)</f>
        <v>78.857500000000002</v>
      </c>
      <c r="D135" s="70">
        <f ca="1">62.656187942217*OFFSET($L$112,MATCH($N$1,$C$112:$C$113,0)-1,0)</f>
        <v>62.656187942217002</v>
      </c>
      <c r="E135" s="70">
        <f ca="1">47.8235234375*OFFSET($L$112,MATCH($N$1,$C$112:$C$113,0)-1,0)</f>
        <v>47.8235234375</v>
      </c>
      <c r="F135" s="71">
        <f ca="1">41.94141796875*OFFSET($L$112,MATCH($N$1,$C$112:$C$113,0)-1,0)</f>
        <v>41.941417968750002</v>
      </c>
    </row>
    <row r="136" spans="1:15" ht="18" customHeight="1" x14ac:dyDescent="0.2">
      <c r="A136" s="209"/>
      <c r="B136" s="37" t="s">
        <v>110</v>
      </c>
      <c r="C136" s="31">
        <v>151153.83983283865</v>
      </c>
      <c r="D136" s="31">
        <v>120186.79142259392</v>
      </c>
      <c r="E136" s="31">
        <v>91701.925270793959</v>
      </c>
      <c r="F136" s="72">
        <v>114755.50458715597</v>
      </c>
    </row>
    <row r="137" spans="1:15" ht="18" customHeight="1" x14ac:dyDescent="0.2">
      <c r="A137" s="209"/>
      <c r="B137" s="37" t="s">
        <v>111</v>
      </c>
      <c r="C137" s="31">
        <v>667.459228515625</v>
      </c>
      <c r="D137" s="31">
        <v>635.46488269983797</v>
      </c>
      <c r="E137" s="31">
        <v>590.8922119140625</v>
      </c>
      <c r="F137" s="72">
        <v>651.578369140625</v>
      </c>
    </row>
    <row r="138" spans="1:15" ht="18" customHeight="1" x14ac:dyDescent="0.2">
      <c r="A138" s="209"/>
      <c r="B138" s="37" t="s">
        <v>112</v>
      </c>
      <c r="C138" s="31">
        <f ca="1">348.215871795775*OFFSET($L$112,MATCH($N$1,$C$112:$C$113,0)-1,0)</f>
        <v>348.215871795775</v>
      </c>
      <c r="D138" s="31">
        <f ca="1">331.282719588726*OFFSET($L$112,MATCH($N$1,$C$112:$C$113,0)-1,0)</f>
        <v>331.28271958872602</v>
      </c>
      <c r="E138" s="31">
        <f ca="1">308.15653501343*OFFSET($L$112,MATCH($N$1,$C$112:$C$113,0)-1,0)</f>
        <v>308.15653501343002</v>
      </c>
      <c r="F138" s="72">
        <f ca="1">238.142139178205*OFFSET($L$112,MATCH($N$1,$C$112:$C$113,0)-1,0)</f>
        <v>238.14213917820501</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159.377235303602*OFFSET($L$112,MATCH($N$1,$C$112:$C$113,0)-1,0)</f>
        <v>159.37723530360199</v>
      </c>
      <c r="D139" s="31">
        <f ca="1">326.779616295462*OFFSET($L$112,MATCH($N$1,$C$112:$C$113,0)-1,0)</f>
        <v>326.77961629546201</v>
      </c>
      <c r="E139" s="31">
        <f ca="1">728.802781863936*OFFSET($L$112,MATCH($N$1,$C$112:$C$113,0)-1,0)</f>
        <v>728.80278186393605</v>
      </c>
      <c r="F139" s="72">
        <f ca="1">195.708048574127*OFFSET($L$112,MATCH($N$1,$C$112:$C$113,0)-1,0)</f>
        <v>195.70804857412699</v>
      </c>
      <c r="I139" s="48"/>
      <c r="K139" s="73" t="s">
        <v>114</v>
      </c>
      <c r="L139" s="74">
        <f t="shared" ref="L139:M141" ca="1" si="2">C140</f>
        <v>1194.1647499999999</v>
      </c>
      <c r="M139" s="74">
        <f t="shared" ca="1" si="2"/>
        <v>497.88178066037699</v>
      </c>
      <c r="N139" s="74">
        <f ca="1">E140</f>
        <v>181.99475000000001</v>
      </c>
      <c r="O139" s="74"/>
    </row>
    <row r="140" spans="1:15" ht="18" customHeight="1" x14ac:dyDescent="0.2">
      <c r="A140" s="187" t="s">
        <v>50</v>
      </c>
      <c r="B140" s="35" t="s">
        <v>115</v>
      </c>
      <c r="C140" s="75">
        <f ca="1">1194.16475*OFFSET($L$112,MATCH($N$1,$C$112:$C$113,0)-1,0)</f>
        <v>1194.1647499999999</v>
      </c>
      <c r="D140" s="75">
        <f ca="1">497.881780660377*OFFSET($L$112,MATCH($N$1,$C$112:$C$113,0)-1,0)</f>
        <v>497.88178066037699</v>
      </c>
      <c r="E140" s="75">
        <f ca="1">181.99475*OFFSET($L$112,MATCH($N$1,$C$112:$C$113,0)-1,0)</f>
        <v>181.99475000000001</v>
      </c>
      <c r="F140" s="76">
        <f ca="1">446.5821875*OFFSET($L$112,MATCH($N$1,$C$112:$C$113,0)-1,0)</f>
        <v>446.58218749999997</v>
      </c>
      <c r="I140" s="48"/>
      <c r="K140" s="73" t="s">
        <v>116</v>
      </c>
      <c r="L140" s="74">
        <f t="shared" ca="1" si="2"/>
        <v>871.82543750000002</v>
      </c>
      <c r="M140" s="74">
        <f t="shared" ca="1" si="2"/>
        <v>393.267438089623</v>
      </c>
      <c r="N140" s="74">
        <f ca="1">E141</f>
        <v>168.67453125</v>
      </c>
      <c r="O140" s="74"/>
    </row>
    <row r="141" spans="1:15" ht="18" customHeight="1" x14ac:dyDescent="0.2">
      <c r="A141" s="188"/>
      <c r="B141" s="37" t="s">
        <v>117</v>
      </c>
      <c r="C141" s="31">
        <f ca="1">871.8254375*OFFSET($L$112,MATCH($N$1,$C$112:$C$113,0)-1,0)</f>
        <v>871.82543750000002</v>
      </c>
      <c r="D141" s="31">
        <f ca="1">393.267438089623*OFFSET($L$112,MATCH($N$1,$C$112:$C$113,0)-1,0)</f>
        <v>393.267438089623</v>
      </c>
      <c r="E141" s="31">
        <f ca="1">168.67453125*OFFSET($L$112,MATCH($N$1,$C$112:$C$113,0)-1,0)</f>
        <v>168.67453125</v>
      </c>
      <c r="F141" s="72">
        <f ca="1">359.0849375*OFFSET($L$112,MATCH($N$1,$C$112:$C$113,0)-1,0)</f>
        <v>359.08493750000002</v>
      </c>
      <c r="I141" s="48"/>
      <c r="K141" s="73" t="s">
        <v>118</v>
      </c>
      <c r="L141" s="74">
        <f t="shared" ca="1" si="2"/>
        <v>322.33931250000001</v>
      </c>
      <c r="M141" s="74">
        <f t="shared" ca="1" si="2"/>
        <v>104.614342570755</v>
      </c>
      <c r="N141" s="74">
        <f ca="1">E142</f>
        <v>13.32021875</v>
      </c>
      <c r="O141" s="74"/>
    </row>
    <row r="142" spans="1:15" ht="18" customHeight="1" x14ac:dyDescent="0.2">
      <c r="A142" s="189"/>
      <c r="B142" s="39" t="s">
        <v>119</v>
      </c>
      <c r="C142" s="40">
        <f ca="1">322.3393125*OFFSET($L$112,MATCH($N$1,$C$112:$C$113,0)-1,0)</f>
        <v>322.33931250000001</v>
      </c>
      <c r="D142" s="40">
        <f ca="1">104.614342570755*OFFSET($L$112,MATCH($N$1,$C$112:$C$113,0)-1,0)</f>
        <v>104.614342570755</v>
      </c>
      <c r="E142" s="40">
        <f ca="1">13.32021875*OFFSET($L$112,MATCH($N$1,$C$112:$C$113,0)-1,0)</f>
        <v>13.32021875</v>
      </c>
      <c r="F142" s="65">
        <f ca="1">87.4972578125*OFFSET($L$112,MATCH($N$1,$C$112:$C$113,0)-1,0)</f>
        <v>87.497257812499996</v>
      </c>
      <c r="I142" s="48"/>
      <c r="K142" s="73" t="s">
        <v>120</v>
      </c>
      <c r="L142" s="77">
        <f ca="1">IFERROR(L140/L$139,"")</f>
        <v>0.73007132181719492</v>
      </c>
      <c r="M142" s="77">
        <f t="shared" ref="M142:N143" ca="1" si="3">IFERROR(M140/M$139,"")</f>
        <v>0.78988115927440372</v>
      </c>
      <c r="N142" s="77">
        <f t="shared" ca="1" si="3"/>
        <v>0.92680987363646472</v>
      </c>
      <c r="O142" s="77"/>
    </row>
    <row r="143" spans="1:15" ht="18" customHeight="1" x14ac:dyDescent="0.2">
      <c r="I143" s="48"/>
      <c r="K143" s="73" t="s">
        <v>121</v>
      </c>
      <c r="L143" s="77">
        <f ca="1">IFERROR(L141/L$139,"")</f>
        <v>0.26992867818280519</v>
      </c>
      <c r="M143" s="77">
        <f t="shared" ca="1" si="3"/>
        <v>0.21011884072559825</v>
      </c>
      <c r="N143" s="77">
        <f t="shared" ca="1" si="3"/>
        <v>7.319012636353521E-2</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9</v>
      </c>
      <c r="B161" s="53"/>
      <c r="C161" s="78" t="s">
        <v>45</v>
      </c>
      <c r="D161" s="78" t="s">
        <v>122</v>
      </c>
      <c r="E161" s="78" t="s">
        <v>47</v>
      </c>
      <c r="F161" s="78" t="s">
        <v>123</v>
      </c>
      <c r="G161" s="79">
        <v>9</v>
      </c>
      <c r="H161" s="78"/>
      <c r="I161" s="78" t="s">
        <v>45</v>
      </c>
      <c r="J161" s="78" t="s">
        <v>122</v>
      </c>
      <c r="K161" s="78" t="s">
        <v>47</v>
      </c>
      <c r="L161" s="53" t="s">
        <v>123</v>
      </c>
      <c r="R161" s="21"/>
      <c r="S161" s="21"/>
    </row>
    <row r="162" spans="1:19" s="48" customFormat="1" x14ac:dyDescent="0.2">
      <c r="A162" s="49">
        <v>1</v>
      </c>
      <c r="B162" s="53" t="s">
        <v>104</v>
      </c>
      <c r="C162" s="53">
        <v>0.36960689468481445</v>
      </c>
      <c r="D162" s="53">
        <v>0.62622719849648256</v>
      </c>
      <c r="E162" s="53">
        <v>0.83537866446714681</v>
      </c>
      <c r="F162" s="49">
        <v>12153634</v>
      </c>
      <c r="G162" s="49">
        <v>1</v>
      </c>
      <c r="H162" s="53" t="s">
        <v>104</v>
      </c>
      <c r="I162" s="53">
        <v>0.29823951878415289</v>
      </c>
      <c r="J162" s="53">
        <v>0.62525103901579382</v>
      </c>
      <c r="K162" s="53">
        <v>0.59388539987032396</v>
      </c>
      <c r="L162" s="49">
        <v>12153634</v>
      </c>
      <c r="R162" s="21"/>
      <c r="S162" s="21"/>
    </row>
    <row r="163" spans="1:19" s="48" customFormat="1" x14ac:dyDescent="0.2">
      <c r="A163" s="49">
        <v>2</v>
      </c>
      <c r="B163" s="53" t="s">
        <v>248</v>
      </c>
      <c r="C163" s="53">
        <v>0.27819323105568733</v>
      </c>
      <c r="D163" s="53">
        <v>0.34735457115827734</v>
      </c>
      <c r="E163" s="53">
        <v>7.1771751727771643E-2</v>
      </c>
      <c r="F163" s="49">
        <v>553960</v>
      </c>
      <c r="G163" s="49">
        <v>2</v>
      </c>
      <c r="H163" s="53" t="s">
        <v>248</v>
      </c>
      <c r="I163" s="53">
        <v>0.160564879708644</v>
      </c>
      <c r="J163" s="53">
        <v>0.23146420095904843</v>
      </c>
      <c r="K163" s="53">
        <v>3.5611889087962326E-2</v>
      </c>
      <c r="L163" s="49">
        <v>553960</v>
      </c>
      <c r="N163" s="48" t="s">
        <v>124</v>
      </c>
      <c r="R163" s="21"/>
      <c r="S163" s="21"/>
    </row>
    <row r="164" spans="1:19" s="48" customFormat="1" x14ac:dyDescent="0.2">
      <c r="A164" s="49">
        <v>3</v>
      </c>
      <c r="B164" s="53" t="s">
        <v>245</v>
      </c>
      <c r="C164" s="53">
        <v>1.584560833799812E-2</v>
      </c>
      <c r="D164" s="53">
        <v>1.6120065051104006E-2</v>
      </c>
      <c r="E164" s="53">
        <v>4.4713340195861817E-2</v>
      </c>
      <c r="F164" s="49">
        <v>3050596</v>
      </c>
      <c r="G164" s="49">
        <v>3</v>
      </c>
      <c r="H164" s="53" t="s">
        <v>245</v>
      </c>
      <c r="I164" s="53">
        <v>0.10204601263771465</v>
      </c>
      <c r="J164" s="53">
        <v>0.11607811867445358</v>
      </c>
      <c r="K164" s="53">
        <v>0.19994840186509194</v>
      </c>
      <c r="L164" s="49">
        <v>3050596</v>
      </c>
      <c r="N164" s="48" t="s">
        <v>125</v>
      </c>
      <c r="R164" s="21"/>
      <c r="S164" s="21"/>
    </row>
    <row r="165" spans="1:19" s="48" customFormat="1" x14ac:dyDescent="0.2">
      <c r="A165" s="49">
        <v>4</v>
      </c>
      <c r="B165" s="53" t="s">
        <v>102</v>
      </c>
      <c r="C165" s="53">
        <v>0</v>
      </c>
      <c r="D165" s="53">
        <v>4.1006168125866816E-3</v>
      </c>
      <c r="E165" s="53">
        <v>2.1285955473175321E-2</v>
      </c>
      <c r="F165" s="49">
        <v>1692097</v>
      </c>
      <c r="G165" s="49">
        <v>4</v>
      </c>
      <c r="H165" s="53" t="s">
        <v>102</v>
      </c>
      <c r="I165" s="53">
        <v>0</v>
      </c>
      <c r="J165" s="53">
        <v>1.7292910083335368E-2</v>
      </c>
      <c r="K165" s="53">
        <v>7.3909316636897551E-2</v>
      </c>
      <c r="L165" s="49">
        <v>1692097</v>
      </c>
      <c r="R165" s="21"/>
      <c r="S165" s="21"/>
    </row>
    <row r="166" spans="1:19" s="48" customFormat="1" x14ac:dyDescent="0.2">
      <c r="A166" s="49">
        <v>5</v>
      </c>
      <c r="B166" s="53" t="s">
        <v>246</v>
      </c>
      <c r="C166" s="53">
        <v>0</v>
      </c>
      <c r="D166" s="53">
        <v>3.5428103550616047E-3</v>
      </c>
      <c r="E166" s="53">
        <v>0</v>
      </c>
      <c r="F166" s="49">
        <v>3689192</v>
      </c>
      <c r="G166" s="49">
        <v>5</v>
      </c>
      <c r="H166" s="53" t="s">
        <v>246</v>
      </c>
      <c r="I166" s="53">
        <v>0</v>
      </c>
      <c r="J166" s="53">
        <v>7.200756995388231E-3</v>
      </c>
      <c r="K166" s="53">
        <v>0</v>
      </c>
      <c r="L166" s="49">
        <v>3689192</v>
      </c>
      <c r="R166" s="21"/>
      <c r="S166" s="21"/>
    </row>
    <row r="167" spans="1:19" s="48" customFormat="1" x14ac:dyDescent="0.2">
      <c r="A167" s="49">
        <v>6</v>
      </c>
      <c r="B167" s="53" t="s">
        <v>100</v>
      </c>
      <c r="C167" s="53">
        <v>8.1307224657792862E-4</v>
      </c>
      <c r="D167" s="53">
        <v>0</v>
      </c>
      <c r="E167" s="53">
        <v>1.496487753914031E-2</v>
      </c>
      <c r="F167" s="49">
        <v>11115023</v>
      </c>
      <c r="G167" s="49">
        <v>6</v>
      </c>
      <c r="H167" s="53" t="s">
        <v>100</v>
      </c>
      <c r="I167" s="53">
        <v>9.4205581862145428E-4</v>
      </c>
      <c r="J167" s="53">
        <v>0</v>
      </c>
      <c r="K167" s="53">
        <v>1.1097363104398369E-2</v>
      </c>
      <c r="L167" s="49">
        <v>11115023</v>
      </c>
      <c r="R167" s="21"/>
      <c r="S167" s="21"/>
    </row>
    <row r="168" spans="1:19" s="48" customFormat="1" x14ac:dyDescent="0.2">
      <c r="A168" s="49">
        <v>7</v>
      </c>
      <c r="B168" s="53" t="s">
        <v>250</v>
      </c>
      <c r="C168" s="53">
        <v>3.0096975871638675E-4</v>
      </c>
      <c r="D168" s="53">
        <v>0</v>
      </c>
      <c r="E168" s="53">
        <v>0</v>
      </c>
      <c r="F168" s="49">
        <v>2480382</v>
      </c>
      <c r="G168" s="49">
        <v>7</v>
      </c>
      <c r="H168" s="53" t="s">
        <v>250</v>
      </c>
      <c r="I168" s="53">
        <v>1.1108143476845441E-4</v>
      </c>
      <c r="J168" s="53">
        <v>0</v>
      </c>
      <c r="K168" s="53">
        <v>0</v>
      </c>
      <c r="L168" s="49">
        <v>2480382</v>
      </c>
      <c r="R168" s="21"/>
      <c r="S168" s="21"/>
    </row>
    <row r="169" spans="1:19" s="48" customFormat="1" x14ac:dyDescent="0.2">
      <c r="A169" s="49">
        <v>8</v>
      </c>
      <c r="B169" s="53" t="s">
        <v>107</v>
      </c>
      <c r="C169" s="53">
        <v>0.33524022391620589</v>
      </c>
      <c r="D169" s="53">
        <v>2.6547381264877545E-3</v>
      </c>
      <c r="E169" s="53">
        <v>1.1885410596904067E-2</v>
      </c>
      <c r="F169" s="49">
        <v>5920853</v>
      </c>
      <c r="G169" s="49">
        <v>8</v>
      </c>
      <c r="H169" s="53" t="s">
        <v>107</v>
      </c>
      <c r="I169" s="53">
        <v>0.43809645161609856</v>
      </c>
      <c r="J169" s="53">
        <v>2.7129742719805838E-3</v>
      </c>
      <c r="K169" s="53">
        <v>8.55476294353259E-2</v>
      </c>
      <c r="L169" s="49">
        <v>5920853</v>
      </c>
      <c r="R169" s="21"/>
      <c r="S169" s="21"/>
    </row>
    <row r="170" spans="1:19" s="48" customFormat="1" x14ac:dyDescent="0.2">
      <c r="A170" s="49">
        <v>9</v>
      </c>
      <c r="B170" s="53"/>
      <c r="C170" s="53">
        <v>0</v>
      </c>
      <c r="D170" s="53">
        <v>0</v>
      </c>
      <c r="E170" s="53">
        <v>0</v>
      </c>
      <c r="F170" s="49"/>
      <c r="G170" s="49">
        <v>9</v>
      </c>
      <c r="H170" s="53"/>
      <c r="I170" s="53">
        <v>0</v>
      </c>
      <c r="J170" s="53">
        <v>0</v>
      </c>
      <c r="K170" s="53">
        <v>0</v>
      </c>
      <c r="L170" s="49"/>
      <c r="R170" s="21"/>
      <c r="S170" s="21"/>
    </row>
    <row r="171" spans="1:19" s="48" customFormat="1" x14ac:dyDescent="0.2">
      <c r="A171" s="49">
        <v>10</v>
      </c>
      <c r="B171" s="53"/>
      <c r="C171" s="53">
        <v>0</v>
      </c>
      <c r="D171" s="53">
        <v>0</v>
      </c>
      <c r="E171" s="53">
        <v>0</v>
      </c>
      <c r="F171" s="49"/>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15B3BCEA-EC0C-4B6E-9BE8-D4945A7558D8}">
      <formula1>$C$112:$C$113</formula1>
    </dataValidation>
  </dataValidations>
  <hyperlinks>
    <hyperlink ref="O1:P1" location="Home_page" display="Back to home page" xr:uid="{E3BCD674-A443-4D72-9BE0-0DF955992F58}"/>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E3832430-D671-4793-8843-6052A3032E10}">
          <x14:colorSeries rgb="FF323232"/>
          <x14:colorNegative rgb="FFD00000"/>
          <x14:colorAxis rgb="FF000000"/>
          <x14:colorMarkers rgb="FFD00000"/>
          <x14:colorFirst rgb="FFD00000"/>
          <x14:colorLast rgb="FFD00000"/>
          <x14:colorHigh rgb="FFD00000"/>
          <x14:colorLow rgb="FFD00000"/>
          <x14:sparklines>
            <x14:sparkline>
              <xm:f>'Pots and traps over 12m'!D3:N3</xm:f>
              <xm:sqref>C3</xm:sqref>
            </x14:sparkline>
            <x14:sparkline>
              <xm:f>'Pots and traps over 12m'!D4:N4</xm:f>
              <xm:sqref>C4</xm:sqref>
            </x14:sparkline>
            <x14:sparkline>
              <xm:f>'Pots and traps over 12m'!D5:N5</xm:f>
              <xm:sqref>C5</xm:sqref>
            </x14:sparkline>
            <x14:sparkline>
              <xm:f>'Pots and traps over 12m'!D6:N6</xm:f>
              <xm:sqref>C6</xm:sqref>
            </x14:sparkline>
            <x14:sparkline>
              <xm:f>'Pots and traps over 12m'!D7:N7</xm:f>
              <xm:sqref>C7</xm:sqref>
            </x14:sparkline>
            <x14:sparkline>
              <xm:f>'Pots and traps over 12m'!D8:N8</xm:f>
              <xm:sqref>C8</xm:sqref>
            </x14:sparkline>
            <x14:sparkline>
              <xm:f>'Pots and traps over 12m'!D9:N9</xm:f>
              <xm:sqref>C9</xm:sqref>
            </x14:sparkline>
            <x14:sparkline>
              <xm:f>'Pots and traps over 12m'!D10:N10</xm:f>
              <xm:sqref>C10</xm:sqref>
            </x14:sparkline>
            <x14:sparkline>
              <xm:f>'Pots and traps over 12m'!D11:N11</xm:f>
              <xm:sqref>C11</xm:sqref>
            </x14:sparkline>
            <x14:sparkline>
              <xm:f>'Pots and traps over 12m'!D12:N12</xm:f>
              <xm:sqref>C12</xm:sqref>
            </x14:sparkline>
            <x14:sparkline>
              <xm:f>'Pots and traps over 12m'!D13:N13</xm:f>
              <xm:sqref>C13</xm:sqref>
            </x14:sparkline>
            <x14:sparkline>
              <xm:f>'Pots and traps over 12m'!D14:N14</xm:f>
              <xm:sqref>C14</xm:sqref>
            </x14:sparkline>
            <x14:sparkline>
              <xm:f>'Pots and traps over 12m'!D15:N15</xm:f>
              <xm:sqref>C15</xm:sqref>
            </x14:sparkline>
            <x14:sparkline>
              <xm:f>'Pots and traps over 12m'!D16:N16</xm:f>
              <xm:sqref>C16</xm:sqref>
            </x14:sparkline>
            <x14:sparkline>
              <xm:f>'Pots and traps over 12m'!D17:N17</xm:f>
              <xm:sqref>C17</xm:sqref>
            </x14:sparkline>
            <x14:sparkline>
              <xm:f>'Pots and traps over 12m'!D18:N18</xm:f>
              <xm:sqref>C18</xm:sqref>
            </x14:sparkline>
            <x14:sparkline>
              <xm:f>'Pots and traps over 12m'!D19:N19</xm:f>
              <xm:sqref>C19</xm:sqref>
            </x14:sparkline>
            <x14:sparkline>
              <xm:f>'Pots and traps over 12m'!D20:N20</xm:f>
              <xm:sqref>C20</xm:sqref>
            </x14:sparkline>
            <x14:sparkline>
              <xm:f>'Pots and traps over 12m'!D21:N21</xm:f>
              <xm:sqref>C21</xm:sqref>
            </x14:sparkline>
            <x14:sparkline>
              <xm:f>'Pots and traps over 12m'!D22:N22</xm:f>
              <xm:sqref>C22</xm:sqref>
            </x14:sparkline>
            <x14:sparkline>
              <xm:f>'Pots and traps over 12m'!D23:N23</xm:f>
              <xm:sqref>C23</xm:sqref>
            </x14:sparkline>
            <x14:sparkline>
              <xm:f>'Pots and traps over 12m'!D24:N24</xm:f>
              <xm:sqref>C24</xm:sqref>
            </x14:sparkline>
            <x14:sparkline>
              <xm:f>'Pots and traps over 12m'!D25:N25</xm:f>
              <xm:sqref>C25</xm:sqref>
            </x14:sparkline>
            <x14:sparkline>
              <xm:f>'Pots and traps over 12m'!D26:N26</xm:f>
              <xm:sqref>C26</xm:sqref>
            </x14:sparkline>
            <x14:sparkline>
              <xm:f>'Pots and traps over 12m'!D27:N27</xm:f>
              <xm:sqref>C27</xm:sqref>
            </x14:sparkline>
            <x14:sparkline>
              <xm:f>'Pots and traps over 12m'!D28:N28</xm:f>
              <xm:sqref>C28</xm:sqref>
            </x14:sparkline>
            <x14:sparkline>
              <xm:f>'Pots and traps over 12m'!D29:N29</xm:f>
              <xm:sqref>C29</xm:sqref>
            </x14:sparkline>
            <x14:sparkline>
              <xm:f>'Pots and traps over 12m'!D30:N30</xm:f>
              <xm:sqref>C30</xm:sqref>
            </x14:sparkline>
            <x14:sparkline>
              <xm:f>'Pots and traps over 12m'!D31:N31</xm:f>
              <xm:sqref>C31</xm:sqref>
            </x14:sparkline>
            <x14:sparkline>
              <xm:f>'Pots and traps over 12m'!D32:N32</xm:f>
              <xm:sqref>C32</xm:sqref>
            </x14:sparkline>
            <x14:sparkline>
              <xm:f>'Pots and traps over 12m'!D33:N33</xm:f>
              <xm:sqref>C33</xm:sqref>
            </x14:sparkline>
            <x14:sparkline>
              <xm:f>'Pots and traps over 12m'!D34:N34</xm:f>
              <xm:sqref>C34</xm:sqref>
            </x14:sparkline>
            <x14:sparkline>
              <xm:f>'Pots and traps over 12m'!D35:N35</xm:f>
              <xm:sqref>C35</xm:sqref>
            </x14:sparkline>
            <x14:sparkline>
              <xm:f>'Pots and traps over 12m'!D36:N36</xm:f>
              <xm:sqref>C36</xm:sqref>
            </x14:sparkline>
            <x14:sparkline>
              <xm:f>'Pots and traps over 12m'!D37:N37</xm:f>
              <xm:sqref>C37</xm:sqref>
            </x14:sparkline>
            <x14:sparkline>
              <xm:f>'Pots and traps over 12m'!D38:N38</xm:f>
              <xm:sqref>C38</xm:sqref>
            </x14:sparkline>
            <x14:sparkline>
              <xm:f>'Pots and traps over 12m'!D39:N39</xm:f>
              <xm:sqref>C39</xm:sqref>
            </x14:sparkline>
            <x14:sparkline>
              <xm:f>'Pots and traps over 12m'!D40:N40</xm:f>
              <xm:sqref>C40</xm:sqref>
            </x14:sparkline>
            <x14:sparkline>
              <xm:f>'Pots and traps over 12m'!D41:N41</xm:f>
              <xm:sqref>C41</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03B26-5A31-4252-AC29-02861891A140}">
  <sheetPr codeName="Feuil29">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404</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22</v>
      </c>
      <c r="E3" s="28">
        <v>19</v>
      </c>
      <c r="F3" s="28">
        <v>19</v>
      </c>
      <c r="G3" s="28">
        <v>20</v>
      </c>
      <c r="H3" s="28">
        <v>22</v>
      </c>
      <c r="I3" s="28">
        <v>23</v>
      </c>
      <c r="J3" s="28">
        <v>26</v>
      </c>
      <c r="K3" s="28">
        <v>26</v>
      </c>
      <c r="L3" s="28">
        <v>26</v>
      </c>
      <c r="M3" s="28">
        <v>24</v>
      </c>
      <c r="N3" s="28">
        <v>23</v>
      </c>
      <c r="O3" s="29">
        <f t="shared" ref="O3:O41" si="0">IF(N3=0,"",IFERROR(IF(AND(N3&gt;0,D3&lt;0),"na",IF(AND(N3&lt;0,D3&lt;0),-1,1)*(N3-D3)/D3),""))</f>
        <v>4.5454545454545456E-2</v>
      </c>
      <c r="P3" s="29">
        <f t="shared" ref="P3:P41" si="1">IF(N3=0,"",IFERROR(IF(AND(N3&gt;0,J3&lt;0),"na",IF(AND(N3&lt;0,J3&lt;0),-1,1)*(N3-J3)/J3),""))</f>
        <v>-0.11538461538461539</v>
      </c>
    </row>
    <row r="4" spans="1:17" ht="18" customHeight="1" x14ac:dyDescent="0.2">
      <c r="A4" s="193"/>
      <c r="B4" s="30" t="s">
        <v>55</v>
      </c>
      <c r="C4" s="31"/>
      <c r="D4" s="31">
        <v>13241</v>
      </c>
      <c r="E4" s="31">
        <v>11526</v>
      </c>
      <c r="F4" s="31">
        <v>11424</v>
      </c>
      <c r="G4" s="31">
        <v>12125</v>
      </c>
      <c r="H4" s="31">
        <v>13465</v>
      </c>
      <c r="I4" s="31">
        <v>13971</v>
      </c>
      <c r="J4" s="31">
        <v>16196</v>
      </c>
      <c r="K4" s="31">
        <v>16196</v>
      </c>
      <c r="L4" s="31">
        <v>16245</v>
      </c>
      <c r="M4" s="31">
        <v>14716</v>
      </c>
      <c r="N4" s="31">
        <v>14525</v>
      </c>
      <c r="O4" s="29">
        <f t="shared" si="0"/>
        <v>9.6971527830224308E-2</v>
      </c>
      <c r="P4" s="29">
        <f t="shared" si="1"/>
        <v>-0.10317362311681896</v>
      </c>
    </row>
    <row r="5" spans="1:17" ht="18" customHeight="1" x14ac:dyDescent="0.2">
      <c r="A5" s="193"/>
      <c r="B5" s="30" t="s">
        <v>56</v>
      </c>
      <c r="C5" s="31"/>
      <c r="D5" s="31">
        <v>3497</v>
      </c>
      <c r="E5" s="31">
        <v>3087</v>
      </c>
      <c r="F5" s="31">
        <v>3141</v>
      </c>
      <c r="G5" s="31">
        <v>3308</v>
      </c>
      <c r="H5" s="31">
        <v>3773</v>
      </c>
      <c r="I5" s="31">
        <v>3893</v>
      </c>
      <c r="J5" s="31">
        <v>4437</v>
      </c>
      <c r="K5" s="31">
        <v>4437</v>
      </c>
      <c r="L5" s="31">
        <v>4602</v>
      </c>
      <c r="M5" s="31">
        <v>4503</v>
      </c>
      <c r="N5" s="31">
        <v>4737</v>
      </c>
      <c r="O5" s="29">
        <f t="shared" si="0"/>
        <v>0.35458964826994566</v>
      </c>
      <c r="P5" s="29">
        <f t="shared" si="1"/>
        <v>6.7613252197430695E-2</v>
      </c>
      <c r="Q5" s="32"/>
    </row>
    <row r="6" spans="1:17" ht="18" customHeight="1" x14ac:dyDescent="0.2">
      <c r="A6" s="193"/>
      <c r="B6" s="30" t="s">
        <v>57</v>
      </c>
      <c r="C6" s="31"/>
      <c r="D6" s="31">
        <v>10150.666015625</v>
      </c>
      <c r="E6" s="31">
        <v>8862.1005859375</v>
      </c>
      <c r="F6" s="31">
        <v>8853.3505859375</v>
      </c>
      <c r="G6" s="31">
        <v>9365.8505859375</v>
      </c>
      <c r="H6" s="31">
        <v>10416.4150390625</v>
      </c>
      <c r="I6" s="31">
        <v>10847.42578125</v>
      </c>
      <c r="J6" s="31">
        <v>12544.0810546875</v>
      </c>
      <c r="K6" s="31">
        <v>12544.0810546875</v>
      </c>
      <c r="L6" s="31">
        <v>12102.08203125</v>
      </c>
      <c r="M6" s="31">
        <v>10645.962890625</v>
      </c>
      <c r="N6" s="31">
        <v>9884.55859375</v>
      </c>
      <c r="O6" s="29">
        <f t="shared" si="0"/>
        <v>-2.6215759780233015E-2</v>
      </c>
      <c r="P6" s="29">
        <f t="shared" si="1"/>
        <v>-0.21201413234998859</v>
      </c>
    </row>
    <row r="7" spans="1:17" ht="18" customHeight="1" x14ac:dyDescent="0.2">
      <c r="A7" s="193"/>
      <c r="B7" s="30" t="s">
        <v>58</v>
      </c>
      <c r="C7" s="31"/>
      <c r="D7" s="31">
        <v>6131.6708984375</v>
      </c>
      <c r="E7" s="31">
        <v>5797.1298828125</v>
      </c>
      <c r="F7" s="31">
        <v>5539.44287109375</v>
      </c>
      <c r="G7" s="31">
        <v>5359.58837890625</v>
      </c>
      <c r="H7" s="31">
        <v>6152.73388671875</v>
      </c>
      <c r="I7" s="31">
        <v>6505.96044921875</v>
      </c>
      <c r="J7" s="31">
        <v>7744.201171875</v>
      </c>
      <c r="K7" s="31">
        <v>6921.72607421875</v>
      </c>
      <c r="L7" s="31">
        <v>7261.92578125</v>
      </c>
      <c r="M7" s="31">
        <v>6722.15234375</v>
      </c>
      <c r="N7" s="31">
        <v>6603.955078125</v>
      </c>
      <c r="O7" s="29">
        <f t="shared" si="0"/>
        <v>7.7023732602454181E-2</v>
      </c>
      <c r="P7" s="29">
        <f t="shared" si="1"/>
        <v>-0.14723869750324778</v>
      </c>
    </row>
    <row r="8" spans="1:17" ht="18" customHeight="1" x14ac:dyDescent="0.2">
      <c r="A8" s="193"/>
      <c r="B8" s="30" t="s">
        <v>59</v>
      </c>
      <c r="C8" s="33"/>
      <c r="D8" s="33">
        <f ca="1">20.87049*OFFSET(D$112,MATCH($N$1,$C$112:$C$113,0)-1,0)</f>
        <v>20.87049</v>
      </c>
      <c r="E8" s="33">
        <f ca="1">16.501595*OFFSET(E$112,MATCH($N$1,$C$112:$C$113,0)-1,0)</f>
        <v>16.501594999999998</v>
      </c>
      <c r="F8" s="33">
        <f ca="1">15.646211*OFFSET(F$112,MATCH($N$1,$C$112:$C$113,0)-1,0)</f>
        <v>15.646210999999999</v>
      </c>
      <c r="G8" s="33">
        <f ca="1">15.486758*OFFSET(G$112,MATCH($N$1,$C$112:$C$113,0)-1,0)</f>
        <v>15.486758</v>
      </c>
      <c r="H8" s="33">
        <f ca="1">16.644347*OFFSET(H$112,MATCH($N$1,$C$112:$C$113,0)-1,0)</f>
        <v>16.644347</v>
      </c>
      <c r="I8" s="33">
        <f ca="1">21.390414*OFFSET(I$112,MATCH($N$1,$C$112:$C$113,0)-1,0)</f>
        <v>21.390414</v>
      </c>
      <c r="J8" s="33">
        <f ca="1">28.254296*OFFSET(J$112,MATCH($N$1,$C$112:$C$113,0)-1,0)</f>
        <v>28.254296</v>
      </c>
      <c r="K8" s="33">
        <f ca="1">26.761012*OFFSET(K$112,MATCH($N$1,$C$112:$C$113,0)-1,0)</f>
        <v>26.761012000000001</v>
      </c>
      <c r="L8" s="33">
        <f ca="1">26.152614*OFFSET(L$112,MATCH($N$1,$C$112:$C$113,0)-1,0)</f>
        <v>26.152614</v>
      </c>
      <c r="M8" s="33">
        <f ca="1">21.658808*OFFSET(M$112,MATCH($N$1,$C$112:$C$113,0)-1,0)</f>
        <v>21.658808000000001</v>
      </c>
      <c r="N8" s="33">
        <v>24.816179999999999</v>
      </c>
      <c r="O8" s="29">
        <f t="shared" ca="1" si="0"/>
        <v>0.18905593495888209</v>
      </c>
      <c r="P8" s="29">
        <f t="shared" ca="1" si="1"/>
        <v>-0.12168471654717572</v>
      </c>
    </row>
    <row r="9" spans="1:17" ht="18" customHeight="1" x14ac:dyDescent="0.2">
      <c r="A9" s="193"/>
      <c r="B9" s="30" t="s">
        <v>60</v>
      </c>
      <c r="C9" s="31"/>
      <c r="D9" s="31">
        <v>4916</v>
      </c>
      <c r="E9" s="31">
        <v>4115</v>
      </c>
      <c r="F9" s="31">
        <v>4099</v>
      </c>
      <c r="G9" s="31">
        <v>4315</v>
      </c>
      <c r="H9" s="31">
        <v>4443</v>
      </c>
      <c r="I9" s="31">
        <v>4806</v>
      </c>
      <c r="J9" s="31">
        <v>5861</v>
      </c>
      <c r="K9" s="31">
        <v>5474</v>
      </c>
      <c r="L9" s="31">
        <v>5237</v>
      </c>
      <c r="M9" s="31">
        <v>5108</v>
      </c>
      <c r="N9" s="31">
        <v>4927</v>
      </c>
      <c r="O9" s="29">
        <f t="shared" si="0"/>
        <v>2.2375915378356386E-3</v>
      </c>
      <c r="P9" s="29">
        <f t="shared" si="1"/>
        <v>-0.15935847125063982</v>
      </c>
    </row>
    <row r="10" spans="1:17" ht="18" customHeight="1" x14ac:dyDescent="0.2">
      <c r="A10" s="193"/>
      <c r="B10" s="30" t="s">
        <v>61</v>
      </c>
      <c r="C10" s="31"/>
      <c r="D10" s="31">
        <v>145.49960327148438</v>
      </c>
      <c r="E10" s="31">
        <v>170.66307067871094</v>
      </c>
      <c r="F10" s="31">
        <v>130.03164672851563</v>
      </c>
      <c r="G10" s="31">
        <v>117.4154052734375</v>
      </c>
      <c r="H10" s="31">
        <v>138.21040344238281</v>
      </c>
      <c r="I10" s="31">
        <v>150.95111083984375</v>
      </c>
      <c r="J10" s="31">
        <v>172.66804504394531</v>
      </c>
      <c r="K10" s="31">
        <v>152.91729736328125</v>
      </c>
      <c r="L10" s="31">
        <v>148.49137878417969</v>
      </c>
      <c r="M10" s="31">
        <v>166.52537536621094</v>
      </c>
      <c r="N10" s="31">
        <v>165.18701171875</v>
      </c>
      <c r="O10" s="34">
        <f t="shared" si="0"/>
        <v>0.13530901806330936</v>
      </c>
      <c r="P10" s="34">
        <f t="shared" si="1"/>
        <v>-4.3326101962243992E-2</v>
      </c>
    </row>
    <row r="11" spans="1:17" ht="18" customHeight="1" x14ac:dyDescent="0.2">
      <c r="A11" s="194" t="s">
        <v>27</v>
      </c>
      <c r="B11" s="35" t="s">
        <v>62</v>
      </c>
      <c r="C11" s="36"/>
      <c r="D11" s="36">
        <v>28.157272338867188</v>
      </c>
      <c r="E11" s="36">
        <v>28.5321044921875</v>
      </c>
      <c r="F11" s="36">
        <v>28.159473419189453</v>
      </c>
      <c r="G11" s="36">
        <v>28.159000396728516</v>
      </c>
      <c r="H11" s="36">
        <v>28.316818237304688</v>
      </c>
      <c r="I11" s="36">
        <v>28.414783477783203</v>
      </c>
      <c r="J11" s="36">
        <v>28.788461685180664</v>
      </c>
      <c r="K11" s="36">
        <v>28.788461685180664</v>
      </c>
      <c r="L11" s="36">
        <v>29.200769424438477</v>
      </c>
      <c r="M11" s="36">
        <v>29.592500686645508</v>
      </c>
      <c r="N11" s="36">
        <v>30.396522521972656</v>
      </c>
      <c r="O11" s="29">
        <f t="shared" si="0"/>
        <v>7.952653070072048E-2</v>
      </c>
      <c r="P11" s="29">
        <f t="shared" si="1"/>
        <v>5.585782437342833E-2</v>
      </c>
    </row>
    <row r="12" spans="1:17" ht="18" customHeight="1" x14ac:dyDescent="0.2">
      <c r="A12" s="195"/>
      <c r="B12" s="37" t="s">
        <v>55</v>
      </c>
      <c r="C12" s="31"/>
      <c r="D12" s="31">
        <v>601.8636474609375</v>
      </c>
      <c r="E12" s="31">
        <v>606.631591796875</v>
      </c>
      <c r="F12" s="31">
        <v>601.26318359375</v>
      </c>
      <c r="G12" s="31">
        <v>606.25</v>
      </c>
      <c r="H12" s="31">
        <v>612.04547119140625</v>
      </c>
      <c r="I12" s="31">
        <v>607.43475341796875</v>
      </c>
      <c r="J12" s="31">
        <v>622.923095703125</v>
      </c>
      <c r="K12" s="31">
        <v>622.923095703125</v>
      </c>
      <c r="L12" s="31">
        <v>624.80767822265625</v>
      </c>
      <c r="M12" s="31">
        <v>613.16668701171875</v>
      </c>
      <c r="N12" s="31">
        <v>631.521728515625</v>
      </c>
      <c r="O12" s="29">
        <f t="shared" si="0"/>
        <v>4.9277076593353127E-2</v>
      </c>
      <c r="P12" s="29">
        <f t="shared" si="1"/>
        <v>1.3803682784941993E-2</v>
      </c>
    </row>
    <row r="13" spans="1:17" ht="18" customHeight="1" x14ac:dyDescent="0.2">
      <c r="A13" s="195"/>
      <c r="B13" s="37" t="s">
        <v>56</v>
      </c>
      <c r="C13" s="31"/>
      <c r="D13" s="31">
        <v>158.95454406738281</v>
      </c>
      <c r="E13" s="31">
        <v>162.47367858886719</v>
      </c>
      <c r="F13" s="31">
        <v>165.3157958984375</v>
      </c>
      <c r="G13" s="31">
        <v>165.39999389648438</v>
      </c>
      <c r="H13" s="31">
        <v>171.5</v>
      </c>
      <c r="I13" s="31">
        <v>169.2608642578125</v>
      </c>
      <c r="J13" s="31">
        <v>170.65383911132813</v>
      </c>
      <c r="K13" s="31">
        <v>170.65383911132813</v>
      </c>
      <c r="L13" s="31">
        <v>177</v>
      </c>
      <c r="M13" s="31">
        <v>187.625</v>
      </c>
      <c r="N13" s="31">
        <v>205.95652770996094</v>
      </c>
      <c r="O13" s="29">
        <f t="shared" si="0"/>
        <v>0.29569449504163531</v>
      </c>
      <c r="P13" s="29">
        <f t="shared" si="1"/>
        <v>0.20686723945074961</v>
      </c>
    </row>
    <row r="14" spans="1:17" ht="18" customHeight="1" x14ac:dyDescent="0.2">
      <c r="A14" s="195"/>
      <c r="B14" s="37" t="s">
        <v>57</v>
      </c>
      <c r="C14" s="31"/>
      <c r="D14" s="31">
        <v>461.3939208984375</v>
      </c>
      <c r="E14" s="31">
        <v>466.42633056640625</v>
      </c>
      <c r="F14" s="31">
        <v>465.9658203125</v>
      </c>
      <c r="G14" s="31">
        <v>468.29254150390625</v>
      </c>
      <c r="H14" s="31">
        <v>473.473388671875</v>
      </c>
      <c r="I14" s="31">
        <v>471.627197265625</v>
      </c>
      <c r="J14" s="31">
        <v>482.46466064453125</v>
      </c>
      <c r="K14" s="31">
        <v>482.46466064453125</v>
      </c>
      <c r="L14" s="31">
        <v>484.08328247070313</v>
      </c>
      <c r="M14" s="31">
        <v>483.90740966796875</v>
      </c>
      <c r="N14" s="31">
        <v>494.22793579101563</v>
      </c>
      <c r="O14" s="29">
        <f t="shared" si="0"/>
        <v>7.1162651706903571E-2</v>
      </c>
      <c r="P14" s="29">
        <f t="shared" si="1"/>
        <v>2.4381630627141999E-2</v>
      </c>
    </row>
    <row r="15" spans="1:17" ht="18" customHeight="1" x14ac:dyDescent="0.2">
      <c r="A15" s="195"/>
      <c r="B15" s="37" t="s">
        <v>58</v>
      </c>
      <c r="C15" s="33"/>
      <c r="D15" s="33">
        <v>278.71231079101563</v>
      </c>
      <c r="E15" s="33">
        <v>305.11212158203125</v>
      </c>
      <c r="F15" s="33">
        <v>291.54962158203125</v>
      </c>
      <c r="G15" s="33">
        <v>267.97943115234375</v>
      </c>
      <c r="H15" s="33">
        <v>279.66970825195313</v>
      </c>
      <c r="I15" s="33">
        <v>282.86782836914063</v>
      </c>
      <c r="J15" s="33">
        <v>297.8538818359375</v>
      </c>
      <c r="K15" s="33">
        <v>266.22024536132813</v>
      </c>
      <c r="L15" s="33">
        <v>279.30484008789063</v>
      </c>
      <c r="M15" s="33">
        <v>280.08966064453125</v>
      </c>
      <c r="N15" s="33">
        <v>287.12847900390625</v>
      </c>
      <c r="O15" s="29">
        <f t="shared" si="0"/>
        <v>3.0196614527017593E-2</v>
      </c>
      <c r="P15" s="29">
        <f t="shared" si="1"/>
        <v>-3.6008940913984683E-2</v>
      </c>
    </row>
    <row r="16" spans="1:17" ht="18" customHeight="1" x14ac:dyDescent="0.2">
      <c r="A16" s="195"/>
      <c r="B16" s="37" t="s">
        <v>63</v>
      </c>
      <c r="C16" s="33"/>
      <c r="D16" s="33">
        <f ca="1">948.6586875*OFFSET(D$112,MATCH($N$1,$C$112:$C$113,0)-1,0)</f>
        <v>948.65868750000004</v>
      </c>
      <c r="E16" s="33">
        <f ca="1">868.505*OFFSET(E$112,MATCH($N$1,$C$112:$C$113,0)-1,0)</f>
        <v>868.505</v>
      </c>
      <c r="F16" s="33">
        <f ca="1">823.48475*OFFSET(F$112,MATCH($N$1,$C$112:$C$113,0)-1,0)</f>
        <v>823.48474999999996</v>
      </c>
      <c r="G16" s="33">
        <f ca="1">774.337875*OFFSET(G$112,MATCH($N$1,$C$112:$C$113,0)-1,0)</f>
        <v>774.33787500000005</v>
      </c>
      <c r="H16" s="33">
        <f ca="1">756.5611875*OFFSET(H$112,MATCH($N$1,$C$112:$C$113,0)-1,0)</f>
        <v>756.56118749999996</v>
      </c>
      <c r="I16" s="33">
        <f ca="1">930.018*OFFSET(I$112,MATCH($N$1,$C$112:$C$113,0)-1,0)</f>
        <v>930.01800000000003</v>
      </c>
      <c r="J16" s="33">
        <f ca="1">1086.70375*OFFSET(J$112,MATCH($N$1,$C$112:$C$113,0)-1,0)</f>
        <v>1086.7037499999999</v>
      </c>
      <c r="K16" s="33">
        <f ca="1">1029.269625*OFFSET(K$112,MATCH($N$1,$C$112:$C$113,0)-1,0)</f>
        <v>1029.2696249999999</v>
      </c>
      <c r="L16" s="33">
        <f ca="1">1005.8698125*OFFSET(L$112,MATCH($N$1,$C$112:$C$113,0)-1,0)</f>
        <v>1005.8698125</v>
      </c>
      <c r="M16" s="33">
        <f ca="1">902.4503125*OFFSET(M$112,MATCH($N$1,$C$112:$C$113,0)-1,0)</f>
        <v>902.4503125</v>
      </c>
      <c r="N16" s="33">
        <v>1078.96425</v>
      </c>
      <c r="O16" s="29">
        <f t="shared" ca="1" si="0"/>
        <v>0.13735768640183349</v>
      </c>
      <c r="P16" s="29">
        <f t="shared" ca="1" si="1"/>
        <v>-7.1219962202209277E-3</v>
      </c>
    </row>
    <row r="17" spans="1:16" ht="18" customHeight="1" x14ac:dyDescent="0.2">
      <c r="A17" s="195"/>
      <c r="B17" s="37" t="s">
        <v>60</v>
      </c>
      <c r="C17" s="31"/>
      <c r="D17" s="31">
        <v>223.45454406738281</v>
      </c>
      <c r="E17" s="31">
        <v>216.57894897460938</v>
      </c>
      <c r="F17" s="31">
        <v>215.73684692382813</v>
      </c>
      <c r="G17" s="31">
        <v>215.75</v>
      </c>
      <c r="H17" s="31">
        <v>201.95454406738281</v>
      </c>
      <c r="I17" s="31">
        <v>208.95652770996094</v>
      </c>
      <c r="J17" s="31">
        <v>225.42308044433594</v>
      </c>
      <c r="K17" s="31">
        <v>210.53846740722656</v>
      </c>
      <c r="L17" s="31">
        <v>201.42308044433594</v>
      </c>
      <c r="M17" s="31">
        <v>212.83332824707031</v>
      </c>
      <c r="N17" s="31">
        <v>214.21739196777344</v>
      </c>
      <c r="O17" s="29">
        <f t="shared" si="0"/>
        <v>-4.133794700019127E-2</v>
      </c>
      <c r="P17" s="29">
        <f t="shared" si="1"/>
        <v>-4.9709588097521976E-2</v>
      </c>
    </row>
    <row r="18" spans="1:16" ht="18" customHeight="1" x14ac:dyDescent="0.2">
      <c r="A18" s="195"/>
      <c r="B18" s="37" t="s">
        <v>64</v>
      </c>
      <c r="C18" s="31"/>
      <c r="D18" s="31">
        <v>39.181819915771484</v>
      </c>
      <c r="E18" s="31">
        <v>40.052631378173828</v>
      </c>
      <c r="F18" s="31">
        <v>39.263156890869141</v>
      </c>
      <c r="G18" s="31">
        <v>40.549999237060547</v>
      </c>
      <c r="H18" s="31">
        <v>40.136363983154297</v>
      </c>
      <c r="I18" s="31">
        <v>41.826087951660156</v>
      </c>
      <c r="J18" s="31">
        <v>43.115383148193359</v>
      </c>
      <c r="K18" s="31">
        <v>44.115383148193359</v>
      </c>
      <c r="L18" s="31">
        <v>44.880001068115234</v>
      </c>
      <c r="M18" s="31">
        <v>45.136363983154297</v>
      </c>
      <c r="N18" s="31">
        <v>45.650001525878906</v>
      </c>
      <c r="O18" s="29">
        <f t="shared" si="0"/>
        <v>0.16508119388052842</v>
      </c>
      <c r="P18" s="29">
        <f t="shared" si="1"/>
        <v>5.878686892271659E-2</v>
      </c>
    </row>
    <row r="19" spans="1:16" ht="18" customHeight="1" x14ac:dyDescent="0.2">
      <c r="A19" s="195"/>
      <c r="B19" s="37" t="s">
        <v>65</v>
      </c>
      <c r="C19" s="38"/>
      <c r="D19" s="38">
        <v>1.2472885847091675</v>
      </c>
      <c r="E19" s="38">
        <v>1.4087800979614258</v>
      </c>
      <c r="F19" s="38">
        <v>1.3514132499694824</v>
      </c>
      <c r="G19" s="38">
        <v>1.2420830726623535</v>
      </c>
      <c r="H19" s="38">
        <v>1.3848150968551636</v>
      </c>
      <c r="I19" s="38">
        <v>1.3537161350250244</v>
      </c>
      <c r="J19" s="38">
        <v>1.3213105201721191</v>
      </c>
      <c r="K19" s="38">
        <v>1.2644731998443604</v>
      </c>
      <c r="L19" s="38">
        <v>1.3866575956344604</v>
      </c>
      <c r="M19" s="38">
        <v>1.316004753112793</v>
      </c>
      <c r="N19" s="38">
        <v>1.3403602838516235</v>
      </c>
      <c r="O19" s="29">
        <f t="shared" si="0"/>
        <v>7.4619218265480833E-2</v>
      </c>
      <c r="P19" s="29">
        <f t="shared" si="1"/>
        <v>1.4417325366502719E-2</v>
      </c>
    </row>
    <row r="20" spans="1:16" ht="18" customHeight="1" x14ac:dyDescent="0.2">
      <c r="A20" s="196"/>
      <c r="B20" s="39" t="s">
        <v>28</v>
      </c>
      <c r="C20" s="40"/>
      <c r="D20" s="40">
        <f ca="1">3404*OFFSET(D$112,MATCH($N$1,$C$112:$C$113,0)-1,0)</f>
        <v>3404</v>
      </c>
      <c r="E20" s="40">
        <f ca="1">2847*OFFSET(E$112,MATCH($N$1,$C$112:$C$113,0)-1,0)</f>
        <v>2847</v>
      </c>
      <c r="F20" s="40">
        <f ca="1">2825*OFFSET(F$112,MATCH($N$1,$C$112:$C$113,0)-1,0)</f>
        <v>2825</v>
      </c>
      <c r="G20" s="40">
        <f ca="1">2890*OFFSET(G$112,MATCH($N$1,$C$112:$C$113,0)-1,0)</f>
        <v>2890</v>
      </c>
      <c r="H20" s="40">
        <f ca="1">2705*OFFSET(H$112,MATCH($N$1,$C$112:$C$113,0)-1,0)</f>
        <v>2705</v>
      </c>
      <c r="I20" s="40">
        <f ca="1">3288*OFFSET(I$112,MATCH($N$1,$C$112:$C$113,0)-1,0)</f>
        <v>3288</v>
      </c>
      <c r="J20" s="40">
        <f ca="1">3648*OFFSET(J$112,MATCH($N$1,$C$112:$C$113,0)-1,0)</f>
        <v>3648</v>
      </c>
      <c r="K20" s="40">
        <f ca="1">3866*OFFSET(K$112,MATCH($N$1,$C$112:$C$113,0)-1,0)</f>
        <v>3866</v>
      </c>
      <c r="L20" s="40">
        <f ca="1">3601*OFFSET(L$112,MATCH($N$1,$C$112:$C$113,0)-1,0)</f>
        <v>3601</v>
      </c>
      <c r="M20" s="40">
        <f ca="1">3222*OFFSET(M$112,MATCH($N$1,$C$112:$C$113,0)-1,0)</f>
        <v>3222</v>
      </c>
      <c r="N20" s="40">
        <v>3758</v>
      </c>
      <c r="O20" s="34">
        <f t="shared" ca="1" si="0"/>
        <v>0.10399529964747356</v>
      </c>
      <c r="P20" s="34">
        <f t="shared" ca="1" si="1"/>
        <v>3.0153508771929825E-2</v>
      </c>
    </row>
    <row r="21" spans="1:16" ht="18" customHeight="1" x14ac:dyDescent="0.2">
      <c r="A21" s="197" t="s">
        <v>29</v>
      </c>
      <c r="B21" s="35" t="s">
        <v>66</v>
      </c>
      <c r="C21" s="41"/>
      <c r="D21" s="41">
        <v>2.0418818543647177</v>
      </c>
      <c r="E21" s="41">
        <v>2.284056788630092</v>
      </c>
      <c r="F21" s="41">
        <v>2.176908811754287</v>
      </c>
      <c r="G21" s="41">
        <v>2.0186501234681971</v>
      </c>
      <c r="H21" s="41">
        <v>2.2926983898693432</v>
      </c>
      <c r="I21" s="41">
        <v>2.1799462159080503</v>
      </c>
      <c r="J21" s="41">
        <v>2.1028973079814604</v>
      </c>
      <c r="K21" s="41">
        <v>1.9874593747907627</v>
      </c>
      <c r="L21" s="41">
        <v>2.1992680264245439</v>
      </c>
      <c r="M21" s="41">
        <v>2.109572295360203</v>
      </c>
      <c r="N21" s="41">
        <v>2.0940831649821483</v>
      </c>
      <c r="O21" s="29">
        <f t="shared" si="0"/>
        <v>2.5565294341514087E-2</v>
      </c>
      <c r="P21" s="29">
        <f t="shared" si="1"/>
        <v>-4.1914281624016204E-3</v>
      </c>
    </row>
    <row r="22" spans="1:16" ht="18" customHeight="1" x14ac:dyDescent="0.2">
      <c r="A22" s="197"/>
      <c r="B22" s="37" t="s">
        <v>67</v>
      </c>
      <c r="C22" s="38"/>
      <c r="D22" s="38">
        <f ca="1">6.94999425929248*OFFSET(D$112,MATCH($N$1,$C$112:$C$113,0)-1,0)</f>
        <v>6.9499942592924802</v>
      </c>
      <c r="E22" s="38">
        <f ca="1">6.50159269623067*OFFSET(E$112,MATCH($N$1,$C$112:$C$113,0)-1,0)</f>
        <v>6.50159269623067</v>
      </c>
      <c r="F22" s="38">
        <f ca="1">6.14870017286539*OFFSET(F$112,MATCH($N$1,$C$112:$C$113,0)-1,0)</f>
        <v>6.1487001728653903</v>
      </c>
      <c r="G22" s="38">
        <f ca="1">5.83297471844484*OFFSET(G$112,MATCH($N$1,$C$112:$C$113,0)-1,0)</f>
        <v>5.8329747184448397</v>
      </c>
      <c r="H22" s="38">
        <f ca="1">6.20219696748933*OFFSET(H$112,MATCH($N$1,$C$112:$C$113,0)-1,0)</f>
        <v>6.2021969674893302</v>
      </c>
      <c r="I22" s="38">
        <f ca="1">7.1672668875608*OFFSET(I$112,MATCH($N$1,$C$112:$C$113,0)-1,0)</f>
        <v>7.1672668875607997</v>
      </c>
      <c r="J22" s="38">
        <f ca="1">7.67230689209918*OFFSET(J$112,MATCH($N$1,$C$112:$C$113,0)-1,0)</f>
        <v>7.6723068920991802</v>
      </c>
      <c r="K22" s="38">
        <f ca="1">7.68398196995568*OFFSET(K$112,MATCH($N$1,$C$112:$C$113,0)-1,0)</f>
        <v>7.6839819699556804</v>
      </c>
      <c r="L22" s="38">
        <f ca="1">7.92029710863865*OFFSET(L$112,MATCH($N$1,$C$112:$C$113,0)-1,0)</f>
        <v>7.9202971086386498</v>
      </c>
      <c r="M22" s="38">
        <f ca="1">6.79705267523351*OFFSET(M$112,MATCH($N$1,$C$112:$C$113,0)-1,0)</f>
        <v>6.7970526752335099</v>
      </c>
      <c r="N22" s="38">
        <v>7.8690935827088442</v>
      </c>
      <c r="O22" s="29">
        <f t="shared" ca="1" si="0"/>
        <v>0.13224461620057937</v>
      </c>
      <c r="P22" s="29">
        <f t="shared" ca="1" si="1"/>
        <v>2.5648959742774608E-2</v>
      </c>
    </row>
    <row r="23" spans="1:16" ht="18" customHeight="1" x14ac:dyDescent="0.2">
      <c r="A23" s="197"/>
      <c r="B23" s="37" t="s">
        <v>11</v>
      </c>
      <c r="C23" s="38"/>
      <c r="D23" s="38">
        <f ca="1">6.27738683079405*OFFSET(D$112,MATCH($N$1,$C$112:$C$113,0)-1,0)</f>
        <v>6.2773868307940504</v>
      </c>
      <c r="E23" s="38">
        <f ca="1">6.46732848293886*OFFSET(E$112,MATCH($N$1,$C$112:$C$113,0)-1,0)</f>
        <v>6.4673284829388598</v>
      </c>
      <c r="F23" s="38">
        <f ca="1">6.06416556630304*OFFSET(F$112,MATCH($N$1,$C$112:$C$113,0)-1,0)</f>
        <v>6.06416556630304</v>
      </c>
      <c r="G23" s="38">
        <f ca="1">5.81186839514296*OFFSET(G$112,MATCH($N$1,$C$112:$C$113,0)-1,0)</f>
        <v>5.8118683951429597</v>
      </c>
      <c r="H23" s="38">
        <f ca="1">7.20375885555049*OFFSET(H$112,MATCH($N$1,$C$112:$C$113,0)-1,0)</f>
        <v>7.2037588555504897</v>
      </c>
      <c r="I23" s="38">
        <f ca="1">5.98491374911547*OFFSET(I$112,MATCH($N$1,$C$112:$C$113,0)-1,0)</f>
        <v>5.9849137491154698</v>
      </c>
      <c r="J23" s="38">
        <f ca="1">6.42246132112495*OFFSET(J$112,MATCH($N$1,$C$112:$C$113,0)-1,0)</f>
        <v>6.4224613211249499</v>
      </c>
      <c r="K23" s="38">
        <f ca="1">6.82262302095591*OFFSET(K$112,MATCH($N$1,$C$112:$C$113,0)-1,0)</f>
        <v>6.82262302095591</v>
      </c>
      <c r="L23" s="38">
        <f ca="1">7.27320431329311*OFFSET(L$112,MATCH($N$1,$C$112:$C$113,0)-1,0)</f>
        <v>7.2732043132931103</v>
      </c>
      <c r="M23" s="38">
        <f ca="1">6.67883571527678*OFFSET(M$112,MATCH($N$1,$C$112:$C$113,0)-1,0)</f>
        <v>6.6788357152767803</v>
      </c>
      <c r="N23" s="38">
        <v>7.6727160371711207</v>
      </c>
      <c r="O23" s="29">
        <f t="shared" ca="1" si="0"/>
        <v>0.22227867168105839</v>
      </c>
      <c r="P23" s="29">
        <f t="shared" ca="1" si="1"/>
        <v>0.1946690923515251</v>
      </c>
    </row>
    <row r="24" spans="1:16" ht="18" customHeight="1" x14ac:dyDescent="0.2">
      <c r="A24" s="197"/>
      <c r="B24" s="37" t="s">
        <v>12</v>
      </c>
      <c r="C24" s="38"/>
      <c r="D24" s="38">
        <f ca="1">0.788332844734066*OFFSET(D$112,MATCH($N$1,$C$112:$C$113,0)-1,0)</f>
        <v>0.78833284473406595</v>
      </c>
      <c r="E24" s="38">
        <f ca="1">0.255306199695672*OFFSET(E$112,MATCH($N$1,$C$112:$C$113,0)-1,0)</f>
        <v>0.25530619969567198</v>
      </c>
      <c r="F24" s="38">
        <f ca="1">0.106095662043428*OFFSET(F$112,MATCH($N$1,$C$112:$C$113,0)-1,0)</f>
        <v>0.106095662043428</v>
      </c>
      <c r="G24" s="38">
        <f ca="1">0.489881581169746*OFFSET(G$112,MATCH($N$1,$C$112:$C$113,0)-1,0)</f>
        <v>0.48988158116974601</v>
      </c>
      <c r="H24" s="38">
        <f ca="1">0.586973378349082*OFFSET(H$112,MATCH($N$1,$C$112:$C$113,0)-1,0)</f>
        <v>0.58697337834908203</v>
      </c>
      <c r="I24" s="38">
        <f ca="1">1.18235313844533*OFFSET(I$112,MATCH($N$1,$C$112:$C$113,0)-1,0)</f>
        <v>1.1823531384453301</v>
      </c>
      <c r="J24" s="38">
        <f ca="1">1.26308686925293*OFFSET(J$112,MATCH($N$1,$C$112:$C$113,0)-1,0)</f>
        <v>1.26308686925293</v>
      </c>
      <c r="K24" s="38">
        <f ca="1">0.863117799757885*OFFSET(K$112,MATCH($N$1,$C$112:$C$113,0)-1,0)</f>
        <v>0.86311779975788505</v>
      </c>
      <c r="L24" s="38">
        <f ca="1">0.647122836597139*OFFSET(L$112,MATCH($N$1,$C$112:$C$113,0)-1,0)</f>
        <v>0.64712283659713898</v>
      </c>
      <c r="M24" s="38">
        <f ca="1">0.121357710119163*OFFSET(M$112,MATCH($N$1,$C$112:$C$113,0)-1,0)</f>
        <v>0.12135771011916301</v>
      </c>
      <c r="N24" s="38">
        <v>0.19637754553772307</v>
      </c>
      <c r="O24" s="29">
        <f t="shared" ca="1" si="0"/>
        <v>-0.75089513668053676</v>
      </c>
      <c r="P24" s="29">
        <f t="shared" ca="1" si="1"/>
        <v>-0.84452570102809066</v>
      </c>
    </row>
    <row r="25" spans="1:16" ht="18" customHeight="1" x14ac:dyDescent="0.2">
      <c r="A25" s="197"/>
      <c r="B25" s="37" t="s">
        <v>68</v>
      </c>
      <c r="C25" s="33"/>
      <c r="D25" s="33">
        <f ca="1">143.45*OFFSET(D$112,MATCH($N$1,$C$112:$C$113,0)-1,0)</f>
        <v>143.44999999999999</v>
      </c>
      <c r="E25" s="33">
        <f ca="1">96.69*OFFSET(E$112,MATCH($N$1,$C$112:$C$113,0)-1,0)</f>
        <v>96.69</v>
      </c>
      <c r="F25" s="33">
        <f ca="1">120.33*OFFSET(F$112,MATCH($N$1,$C$112:$C$113,0)-1,0)</f>
        <v>120.33</v>
      </c>
      <c r="G25" s="33">
        <f ca="1">131.89*OFFSET(G$112,MATCH($N$1,$C$112:$C$113,0)-1,0)</f>
        <v>131.88999999999999</v>
      </c>
      <c r="H25" s="33">
        <f ca="1">120.43*OFFSET(H$112,MATCH($N$1,$C$112:$C$113,0)-1,0)</f>
        <v>120.43</v>
      </c>
      <c r="I25" s="33">
        <f ca="1">141.7*OFFSET(I$112,MATCH($N$1,$C$112:$C$113,0)-1,0)</f>
        <v>141.69999999999999</v>
      </c>
      <c r="J25" s="33">
        <f ca="1">163.63*OFFSET(J$112,MATCH($N$1,$C$112:$C$113,0)-1,0)</f>
        <v>163.63</v>
      </c>
      <c r="K25" s="33">
        <f ca="1">175.01*OFFSET(K$112,MATCH($N$1,$C$112:$C$113,0)-1,0)</f>
        <v>175.01</v>
      </c>
      <c r="L25" s="33">
        <f ca="1">176.13*OFFSET(L$112,MATCH($N$1,$C$112:$C$113,0)-1,0)</f>
        <v>176.13</v>
      </c>
      <c r="M25" s="33">
        <f ca="1">130.07*OFFSET(M$112,MATCH($N$1,$C$112:$C$113,0)-1,0)</f>
        <v>130.07</v>
      </c>
      <c r="N25" s="33">
        <v>150.24</v>
      </c>
      <c r="O25" s="29">
        <f t="shared" ca="1" si="0"/>
        <v>4.7333565702335455E-2</v>
      </c>
      <c r="P25" s="29">
        <f t="shared" ca="1" si="1"/>
        <v>-8.1830960092892424E-2</v>
      </c>
    </row>
    <row r="26" spans="1:16" ht="18" customHeight="1" x14ac:dyDescent="0.2">
      <c r="A26" s="198"/>
      <c r="B26" s="37" t="s">
        <v>69</v>
      </c>
      <c r="C26" s="33"/>
      <c r="D26" s="33">
        <f ca="1">16.27*OFFSET(D$112,MATCH($N$1,$C$112:$C$113,0)-1,0)</f>
        <v>16.27</v>
      </c>
      <c r="E26" s="33">
        <f ca="1">3.8*OFFSET(E$112,MATCH($N$1,$C$112:$C$113,0)-1,0)</f>
        <v>3.8</v>
      </c>
      <c r="F26" s="33">
        <f ca="1">2.07*OFFSET(F$112,MATCH($N$1,$C$112:$C$113,0)-1,0)</f>
        <v>2.0699999999999998</v>
      </c>
      <c r="G26" s="33">
        <f ca="1">11.07*OFFSET(G$112,MATCH($N$1,$C$112:$C$113,0)-1,0)</f>
        <v>11.07</v>
      </c>
      <c r="H26" s="33">
        <f ca="1">11.4*OFFSET(H$112,MATCH($N$1,$C$112:$C$113,0)-1,0)</f>
        <v>11.4</v>
      </c>
      <c r="I26" s="33">
        <f ca="1">23.37*OFFSET(I$112,MATCH($N$1,$C$112:$C$113,0)-1,0)</f>
        <v>23.37</v>
      </c>
      <c r="J26" s="33">
        <f ca="1">26.94*OFFSET(J$112,MATCH($N$1,$C$112:$C$113,0)-1,0)</f>
        <v>26.94</v>
      </c>
      <c r="K26" s="33">
        <f ca="1">19.66*OFFSET(K$112,MATCH($N$1,$C$112:$C$113,0)-1,0)</f>
        <v>19.66</v>
      </c>
      <c r="L26" s="33">
        <f ca="1">14.39*OFFSET(L$112,MATCH($N$1,$C$112:$C$113,0)-1,0)</f>
        <v>14.39</v>
      </c>
      <c r="M26" s="33">
        <f ca="1">2.32*OFFSET(M$112,MATCH($N$1,$C$112:$C$113,0)-1,0)</f>
        <v>2.3199999999999998</v>
      </c>
      <c r="N26" s="33">
        <v>3.75</v>
      </c>
      <c r="O26" s="34">
        <f t="shared" ca="1" si="0"/>
        <v>-0.76951444376152422</v>
      </c>
      <c r="P26" s="34">
        <f t="shared" ca="1" si="1"/>
        <v>-0.86080178173719379</v>
      </c>
    </row>
    <row r="27" spans="1:16" ht="18" customHeight="1" x14ac:dyDescent="0.2">
      <c r="A27" s="187" t="s">
        <v>30</v>
      </c>
      <c r="B27" s="35" t="s">
        <v>63</v>
      </c>
      <c r="C27" s="36"/>
      <c r="D27" s="36">
        <f ca="1">948.7*OFFSET(D$112,MATCH($N$1,$C$112:$C$113,0)-1,0)</f>
        <v>948.7</v>
      </c>
      <c r="E27" s="36">
        <f ca="1">868.5*OFFSET(E$112,MATCH($N$1,$C$112:$C$113,0)-1,0)</f>
        <v>868.5</v>
      </c>
      <c r="F27" s="36">
        <f ca="1">823.5*OFFSET(F$112,MATCH($N$1,$C$112:$C$113,0)-1,0)</f>
        <v>823.5</v>
      </c>
      <c r="G27" s="36">
        <f ca="1">774.3*OFFSET(G$112,MATCH($N$1,$C$112:$C$113,0)-1,0)</f>
        <v>774.3</v>
      </c>
      <c r="H27" s="36">
        <f ca="1">756.6*OFFSET(H$112,MATCH($N$1,$C$112:$C$113,0)-1,0)</f>
        <v>756.6</v>
      </c>
      <c r="I27" s="36">
        <f ca="1">930*OFFSET(I$112,MATCH($N$1,$C$112:$C$113,0)-1,0)</f>
        <v>930</v>
      </c>
      <c r="J27" s="36">
        <f ca="1">1086.7*OFFSET(J$112,MATCH($N$1,$C$112:$C$113,0)-1,0)</f>
        <v>1086.7</v>
      </c>
      <c r="K27" s="36">
        <f ca="1">1029.3*OFFSET(K$112,MATCH($N$1,$C$112:$C$113,0)-1,0)</f>
        <v>1029.3</v>
      </c>
      <c r="L27" s="36">
        <f ca="1">1005.9*OFFSET(L$112,MATCH($N$1,$C$112:$C$113,0)-1,0)</f>
        <v>1005.9</v>
      </c>
      <c r="M27" s="36">
        <f ca="1">902.5*OFFSET(M$112,MATCH($N$1,$C$112:$C$113,0)-1,0)</f>
        <v>902.5</v>
      </c>
      <c r="N27" s="36">
        <v>1079</v>
      </c>
      <c r="O27" s="29">
        <f t="shared" ca="1" si="0"/>
        <v>0.13734584167808575</v>
      </c>
      <c r="P27" s="29">
        <f t="shared" ca="1" si="1"/>
        <v>-7.0856722186436417E-3</v>
      </c>
    </row>
    <row r="28" spans="1:16" ht="18" customHeight="1" x14ac:dyDescent="0.2">
      <c r="A28" s="199"/>
      <c r="B28" s="37" t="s">
        <v>70</v>
      </c>
      <c r="C28" s="33"/>
      <c r="D28" s="33">
        <f ca="1">15.8*OFFSET(D$112,MATCH($N$1,$C$112:$C$113,0)-1,0)</f>
        <v>15.8</v>
      </c>
      <c r="E28" s="33">
        <f ca="1">29.5*OFFSET(E$112,MATCH($N$1,$C$112:$C$113,0)-1,0)</f>
        <v>29.5</v>
      </c>
      <c r="F28" s="33">
        <f ca="1">2.9*OFFSET(F$112,MATCH($N$1,$C$112:$C$113,0)-1,0)</f>
        <v>2.9</v>
      </c>
      <c r="G28" s="33">
        <f ca="1">62.2*OFFSET(G$112,MATCH($N$1,$C$112:$C$113,0)-1,0)</f>
        <v>62.2</v>
      </c>
      <c r="H28" s="33">
        <f ca="1">193.8*OFFSET(H$112,MATCH($N$1,$C$112:$C$113,0)-1,0)</f>
        <v>193.8</v>
      </c>
      <c r="I28" s="33"/>
      <c r="J28" s="33">
        <f ca="1">1.9*OFFSET(J$112,MATCH($N$1,$C$112:$C$113,0)-1,0)</f>
        <v>1.9</v>
      </c>
      <c r="K28" s="33">
        <f ca="1">0.2*OFFSET(K$112,MATCH($N$1,$C$112:$C$113,0)-1,0)</f>
        <v>0.2</v>
      </c>
      <c r="L28" s="33"/>
      <c r="M28" s="33">
        <f ca="1">0.4*OFFSET(M$112,MATCH($N$1,$C$112:$C$113,0)-1,0)</f>
        <v>0.4</v>
      </c>
      <c r="N28" s="33"/>
      <c r="O28" s="29" t="str">
        <f t="shared" si="0"/>
        <v/>
      </c>
      <c r="P28" s="29" t="str">
        <f t="shared" si="1"/>
        <v/>
      </c>
    </row>
    <row r="29" spans="1:16" ht="18" customHeight="1" x14ac:dyDescent="0.2">
      <c r="A29" s="199"/>
      <c r="B29" s="42" t="s">
        <v>71</v>
      </c>
      <c r="C29" s="43"/>
      <c r="D29" s="43">
        <f ca="1">964.5*OFFSET(D$112,MATCH($N$1,$C$112:$C$113,0)-1,0)</f>
        <v>964.5</v>
      </c>
      <c r="E29" s="43">
        <f ca="1">898*OFFSET(E$112,MATCH($N$1,$C$112:$C$113,0)-1,0)</f>
        <v>898</v>
      </c>
      <c r="F29" s="43">
        <f ca="1">826.4*OFFSET(F$112,MATCH($N$1,$C$112:$C$113,0)-1,0)</f>
        <v>826.4</v>
      </c>
      <c r="G29" s="43">
        <f ca="1">836.6*OFFSET(G$112,MATCH($N$1,$C$112:$C$113,0)-1,0)</f>
        <v>836.6</v>
      </c>
      <c r="H29" s="43">
        <f ca="1">950.3*OFFSET(H$112,MATCH($N$1,$C$112:$C$113,0)-1,0)</f>
        <v>950.3</v>
      </c>
      <c r="I29" s="43">
        <f ca="1">930*OFFSET(I$112,MATCH($N$1,$C$112:$C$113,0)-1,0)</f>
        <v>930</v>
      </c>
      <c r="J29" s="43">
        <f ca="1">1088.6*OFFSET(J$112,MATCH($N$1,$C$112:$C$113,0)-1,0)</f>
        <v>1088.5999999999999</v>
      </c>
      <c r="K29" s="43">
        <f ca="1">1029.5*OFFSET(K$112,MATCH($N$1,$C$112:$C$113,0)-1,0)</f>
        <v>1029.5</v>
      </c>
      <c r="L29" s="43">
        <f ca="1">1005.9*OFFSET(L$112,MATCH($N$1,$C$112:$C$113,0)-1,0)</f>
        <v>1005.9</v>
      </c>
      <c r="M29" s="43">
        <f ca="1">902.9*OFFSET(M$112,MATCH($N$1,$C$112:$C$113,0)-1,0)</f>
        <v>902.9</v>
      </c>
      <c r="N29" s="43">
        <v>1079</v>
      </c>
      <c r="O29" s="29">
        <f t="shared" ca="1" si="0"/>
        <v>0.11871435977190253</v>
      </c>
      <c r="P29" s="29">
        <f t="shared" ca="1" si="1"/>
        <v>-8.8186661767406856E-3</v>
      </c>
    </row>
    <row r="30" spans="1:16" ht="18" customHeight="1" x14ac:dyDescent="0.2">
      <c r="A30" s="199"/>
      <c r="B30" s="37" t="s">
        <v>72</v>
      </c>
      <c r="C30" s="33"/>
      <c r="D30" s="33">
        <f ca="1">371.4*OFFSET(D$112,MATCH($N$1,$C$112:$C$113,0)-1,0)</f>
        <v>371.4</v>
      </c>
      <c r="E30" s="33">
        <f ca="1">380*OFFSET(E$112,MATCH($N$1,$C$112:$C$113,0)-1,0)</f>
        <v>380</v>
      </c>
      <c r="F30" s="33">
        <f ca="1">353.8*OFFSET(F$112,MATCH($N$1,$C$112:$C$113,0)-1,0)</f>
        <v>353.8</v>
      </c>
      <c r="G30" s="33">
        <f ca="1">317.1*OFFSET(G$112,MATCH($N$1,$C$112:$C$113,0)-1,0)</f>
        <v>317.10000000000002</v>
      </c>
      <c r="H30" s="33">
        <f ca="1">206.6*OFFSET(H$112,MATCH($N$1,$C$112:$C$113,0)-1,0)</f>
        <v>206.6</v>
      </c>
      <c r="I30" s="33">
        <f ca="1">204.7*OFFSET(I$112,MATCH($N$1,$C$112:$C$113,0)-1,0)</f>
        <v>204.7</v>
      </c>
      <c r="J30" s="33">
        <f ca="1">269.7*OFFSET(J$112,MATCH($N$1,$C$112:$C$113,0)-1,0)</f>
        <v>269.7</v>
      </c>
      <c r="K30" s="33">
        <f ca="1">300.9*OFFSET(K$112,MATCH($N$1,$C$112:$C$113,0)-1,0)</f>
        <v>300.89999999999998</v>
      </c>
      <c r="L30" s="33">
        <f ca="1">287*OFFSET(L$112,MATCH($N$1,$C$112:$C$113,0)-1,0)</f>
        <v>287</v>
      </c>
      <c r="M30" s="33">
        <f ca="1">221.3*OFFSET(M$112,MATCH($N$1,$C$112:$C$113,0)-1,0)</f>
        <v>221.3</v>
      </c>
      <c r="N30" s="33">
        <v>295.7</v>
      </c>
      <c r="O30" s="29">
        <f t="shared" ca="1" si="0"/>
        <v>-0.20382337102854065</v>
      </c>
      <c r="P30" s="29">
        <f t="shared" ca="1" si="1"/>
        <v>9.6403411197626993E-2</v>
      </c>
    </row>
    <row r="31" spans="1:16" ht="18" customHeight="1" x14ac:dyDescent="0.2">
      <c r="A31" s="199"/>
      <c r="B31" s="37" t="s">
        <v>73</v>
      </c>
      <c r="C31" s="33"/>
      <c r="D31" s="33">
        <f ca="1">247.5*OFFSET(D$112,MATCH($N$1,$C$112:$C$113,0)-1,0)</f>
        <v>247.5</v>
      </c>
      <c r="E31" s="33">
        <f ca="1">218.2*OFFSET(E$112,MATCH($N$1,$C$112:$C$113,0)-1,0)</f>
        <v>218.2</v>
      </c>
      <c r="F31" s="33">
        <f ca="1">202.8*OFFSET(F$112,MATCH($N$1,$C$112:$C$113,0)-1,0)</f>
        <v>202.8</v>
      </c>
      <c r="G31" s="33">
        <f ca="1">193.7*OFFSET(G$112,MATCH($N$1,$C$112:$C$113,0)-1,0)</f>
        <v>193.7</v>
      </c>
      <c r="H31" s="33">
        <f ca="1">238*OFFSET(H$112,MATCH($N$1,$C$112:$C$113,0)-1,0)</f>
        <v>238</v>
      </c>
      <c r="I31" s="33">
        <f ca="1">275.1*OFFSET(I$112,MATCH($N$1,$C$112:$C$113,0)-1,0)</f>
        <v>275.10000000000002</v>
      </c>
      <c r="J31" s="33">
        <f ca="1">308*OFFSET(J$112,MATCH($N$1,$C$112:$C$113,0)-1,0)</f>
        <v>308</v>
      </c>
      <c r="K31" s="33">
        <f ca="1">274.9*OFFSET(K$112,MATCH($N$1,$C$112:$C$113,0)-1,0)</f>
        <v>274.89999999999998</v>
      </c>
      <c r="L31" s="33">
        <f ca="1">259.7*OFFSET(L$112,MATCH($N$1,$C$112:$C$113,0)-1,0)</f>
        <v>259.7</v>
      </c>
      <c r="M31" s="33">
        <f ca="1">232.4*OFFSET(M$112,MATCH($N$1,$C$112:$C$113,0)-1,0)</f>
        <v>232.4</v>
      </c>
      <c r="N31" s="33">
        <v>262</v>
      </c>
      <c r="O31" s="29">
        <f t="shared" ca="1" si="0"/>
        <v>5.8585858585858588E-2</v>
      </c>
      <c r="P31" s="29">
        <f t="shared" ca="1" si="1"/>
        <v>-0.14935064935064934</v>
      </c>
    </row>
    <row r="32" spans="1:16" ht="18" customHeight="1" x14ac:dyDescent="0.2">
      <c r="A32" s="199"/>
      <c r="B32" s="37" t="s">
        <v>74</v>
      </c>
      <c r="C32" s="33"/>
      <c r="D32" s="33">
        <f ca="1">72.2*OFFSET(D$112,MATCH($N$1,$C$112:$C$113,0)-1,0)</f>
        <v>72.2</v>
      </c>
      <c r="E32" s="33">
        <f ca="1">64.1*OFFSET(E$112,MATCH($N$1,$C$112:$C$113,0)-1,0)</f>
        <v>64.099999999999994</v>
      </c>
      <c r="F32" s="33">
        <f ca="1">87.7*OFFSET(F$112,MATCH($N$1,$C$112:$C$113,0)-1,0)</f>
        <v>87.7</v>
      </c>
      <c r="G32" s="33">
        <f ca="1">88.2*OFFSET(G$112,MATCH($N$1,$C$112:$C$113,0)-1,0)</f>
        <v>88.2</v>
      </c>
      <c r="H32" s="33">
        <f ca="1">63*OFFSET(H$112,MATCH($N$1,$C$112:$C$113,0)-1,0)</f>
        <v>63</v>
      </c>
      <c r="I32" s="33">
        <f ca="1">84.3*OFFSET(I$112,MATCH($N$1,$C$112:$C$113,0)-1,0)</f>
        <v>84.3</v>
      </c>
      <c r="J32" s="33">
        <f ca="1">141.5*OFFSET(J$112,MATCH($N$1,$C$112:$C$113,0)-1,0)</f>
        <v>141.5</v>
      </c>
      <c r="K32" s="33">
        <f ca="1">139.8*OFFSET(K$112,MATCH($N$1,$C$112:$C$113,0)-1,0)</f>
        <v>139.80000000000001</v>
      </c>
      <c r="L32" s="33">
        <f ca="1">185.3*OFFSET(L$112,MATCH($N$1,$C$112:$C$113,0)-1,0)</f>
        <v>185.3</v>
      </c>
      <c r="M32" s="33">
        <f ca="1">224.4*OFFSET(M$112,MATCH($N$1,$C$112:$C$113,0)-1,0)</f>
        <v>224.4</v>
      </c>
      <c r="N32" s="33">
        <v>268.3</v>
      </c>
      <c r="O32" s="29">
        <f t="shared" ca="1" si="0"/>
        <v>2.71606648199446</v>
      </c>
      <c r="P32" s="29">
        <f t="shared" ca="1" si="1"/>
        <v>0.89611307420494712</v>
      </c>
    </row>
    <row r="33" spans="1:16" ht="18" customHeight="1" x14ac:dyDescent="0.2">
      <c r="A33" s="199"/>
      <c r="B33" s="37" t="s">
        <v>75</v>
      </c>
      <c r="C33" s="33"/>
      <c r="D33" s="33">
        <f ca="1">691*OFFSET(D$112,MATCH($N$1,$C$112:$C$113,0)-1,0)</f>
        <v>691</v>
      </c>
      <c r="E33" s="33">
        <f ca="1">662.3*OFFSET(E$112,MATCH($N$1,$C$112:$C$113,0)-1,0)</f>
        <v>662.3</v>
      </c>
      <c r="F33" s="33">
        <f ca="1">644.3*OFFSET(F$112,MATCH($N$1,$C$112:$C$113,0)-1,0)</f>
        <v>644.29999999999995</v>
      </c>
      <c r="G33" s="33">
        <f ca="1">599.1*OFFSET(G$112,MATCH($N$1,$C$112:$C$113,0)-1,0)</f>
        <v>599.1</v>
      </c>
      <c r="H33" s="33">
        <f ca="1">507.6*OFFSET(H$112,MATCH($N$1,$C$112:$C$113,0)-1,0)</f>
        <v>507.6</v>
      </c>
      <c r="I33" s="33">
        <f ca="1">564.1*OFFSET(I$112,MATCH($N$1,$C$112:$C$113,0)-1,0)</f>
        <v>564.1</v>
      </c>
      <c r="J33" s="33">
        <f ca="1">719.1*OFFSET(J$112,MATCH($N$1,$C$112:$C$113,0)-1,0)</f>
        <v>719.1</v>
      </c>
      <c r="K33" s="33">
        <f ca="1">715.6*OFFSET(K$112,MATCH($N$1,$C$112:$C$113,0)-1,0)</f>
        <v>715.6</v>
      </c>
      <c r="L33" s="33">
        <f ca="1">732*OFFSET(L$112,MATCH($N$1,$C$112:$C$113,0)-1,0)</f>
        <v>732</v>
      </c>
      <c r="M33" s="33">
        <f ca="1">678*OFFSET(M$112,MATCH($N$1,$C$112:$C$113,0)-1,0)</f>
        <v>678</v>
      </c>
      <c r="N33" s="33">
        <v>825.9</v>
      </c>
      <c r="O33" s="29">
        <f t="shared" ca="1" si="0"/>
        <v>0.19522431259044859</v>
      </c>
      <c r="P33" s="29">
        <f t="shared" ca="1" si="1"/>
        <v>0.14851898206090941</v>
      </c>
    </row>
    <row r="34" spans="1:16" ht="18" customHeight="1" x14ac:dyDescent="0.2">
      <c r="A34" s="199"/>
      <c r="B34" s="37" t="s">
        <v>76</v>
      </c>
      <c r="C34" s="33"/>
      <c r="D34" s="33">
        <f ca="1">165.8*OFFSET(D$112,MATCH($N$1,$C$112:$C$113,0)-1,0)</f>
        <v>165.8</v>
      </c>
      <c r="E34" s="33">
        <f ca="1">201.6*OFFSET(E$112,MATCH($N$1,$C$112:$C$113,0)-1,0)</f>
        <v>201.6</v>
      </c>
      <c r="F34" s="33">
        <f ca="1">167.8*OFFSET(F$112,MATCH($N$1,$C$112:$C$113,0)-1,0)</f>
        <v>167.8</v>
      </c>
      <c r="G34" s="33">
        <f ca="1">172.5*OFFSET(G$112,MATCH($N$1,$C$112:$C$113,0)-1,0)</f>
        <v>172.5</v>
      </c>
      <c r="H34" s="33">
        <f ca="1">371.2*OFFSET(H$112,MATCH($N$1,$C$112:$C$113,0)-1,0)</f>
        <v>371.2</v>
      </c>
      <c r="I34" s="33">
        <f ca="1">212.5*OFFSET(I$112,MATCH($N$1,$C$112:$C$113,0)-1,0)</f>
        <v>212.5</v>
      </c>
      <c r="J34" s="33">
        <f ca="1">190.5*OFFSET(J$112,MATCH($N$1,$C$112:$C$113,0)-1,0)</f>
        <v>190.5</v>
      </c>
      <c r="K34" s="33">
        <f ca="1">198.3*OFFSET(K$112,MATCH($N$1,$C$112:$C$113,0)-1,0)</f>
        <v>198.3</v>
      </c>
      <c r="L34" s="33">
        <f ca="1">191.7*OFFSET(L$112,MATCH($N$1,$C$112:$C$113,0)-1,0)</f>
        <v>191.7</v>
      </c>
      <c r="M34" s="33">
        <f ca="1">208.7*OFFSET(M$112,MATCH($N$1,$C$112:$C$113,0)-1,0)</f>
        <v>208.7</v>
      </c>
      <c r="N34" s="33">
        <v>226.1</v>
      </c>
      <c r="O34" s="29">
        <f t="shared" ca="1" si="0"/>
        <v>0.36369119420989132</v>
      </c>
      <c r="P34" s="29">
        <f t="shared" ca="1" si="1"/>
        <v>0.18687664041994748</v>
      </c>
    </row>
    <row r="35" spans="1:16" ht="18" customHeight="1" x14ac:dyDescent="0.2">
      <c r="A35" s="199"/>
      <c r="B35" s="37" t="s">
        <v>77</v>
      </c>
      <c r="C35" s="33"/>
      <c r="D35" s="33">
        <f ca="1">856.8*OFFSET(D$112,MATCH($N$1,$C$112:$C$113,0)-1,0)</f>
        <v>856.8</v>
      </c>
      <c r="E35" s="33">
        <f ca="1">863.9*OFFSET(E$112,MATCH($N$1,$C$112:$C$113,0)-1,0)</f>
        <v>863.9</v>
      </c>
      <c r="F35" s="33">
        <f ca="1">812.2*OFFSET(F$112,MATCH($N$1,$C$112:$C$113,0)-1,0)</f>
        <v>812.2</v>
      </c>
      <c r="G35" s="33">
        <f ca="1">771.5*OFFSET(G$112,MATCH($N$1,$C$112:$C$113,0)-1,0)</f>
        <v>771.5</v>
      </c>
      <c r="H35" s="33">
        <f ca="1">878.7*OFFSET(H$112,MATCH($N$1,$C$112:$C$113,0)-1,0)</f>
        <v>878.7</v>
      </c>
      <c r="I35" s="33">
        <f ca="1">776.6*OFFSET(I$112,MATCH($N$1,$C$112:$C$113,0)-1,0)</f>
        <v>776.6</v>
      </c>
      <c r="J35" s="33">
        <f ca="1">909.7*OFFSET(J$112,MATCH($N$1,$C$112:$C$113,0)-1,0)</f>
        <v>909.7</v>
      </c>
      <c r="K35" s="33">
        <f ca="1">913.9*OFFSET(K$112,MATCH($N$1,$C$112:$C$113,0)-1,0)</f>
        <v>913.9</v>
      </c>
      <c r="L35" s="33">
        <f ca="1">923.7*OFFSET(L$112,MATCH($N$1,$C$112:$C$113,0)-1,0)</f>
        <v>923.7</v>
      </c>
      <c r="M35" s="33">
        <f ca="1">886.8*OFFSET(M$112,MATCH($N$1,$C$112:$C$113,0)-1,0)</f>
        <v>886.8</v>
      </c>
      <c r="N35" s="33">
        <v>1052</v>
      </c>
      <c r="O35" s="29">
        <f t="shared" ca="1" si="0"/>
        <v>0.22782446311858084</v>
      </c>
      <c r="P35" s="29">
        <f t="shared" ca="1" si="1"/>
        <v>0.15642519511927003</v>
      </c>
    </row>
    <row r="36" spans="1:16" ht="18" customHeight="1" x14ac:dyDescent="0.2">
      <c r="A36" s="199"/>
      <c r="B36" s="42" t="s">
        <v>78</v>
      </c>
      <c r="C36" s="43"/>
      <c r="D36" s="43">
        <f ca="1">355.1*OFFSET(D$112,MATCH($N$1,$C$112:$C$113,0)-1,0)</f>
        <v>355.1</v>
      </c>
      <c r="E36" s="43">
        <f ca="1">252.3*OFFSET(E$112,MATCH($N$1,$C$112:$C$113,0)-1,0)</f>
        <v>252.3</v>
      </c>
      <c r="F36" s="43">
        <f ca="1">217*OFFSET(F$112,MATCH($N$1,$C$112:$C$113,0)-1,0)</f>
        <v>217</v>
      </c>
      <c r="G36" s="43">
        <f ca="1">258.7*OFFSET(G$112,MATCH($N$1,$C$112:$C$113,0)-1,0)</f>
        <v>258.7</v>
      </c>
      <c r="H36" s="43">
        <f ca="1">309.6*OFFSET(H$112,MATCH($N$1,$C$112:$C$113,0)-1,0)</f>
        <v>309.60000000000002</v>
      </c>
      <c r="I36" s="43">
        <f ca="1">428.5*OFFSET(I$112,MATCH($N$1,$C$112:$C$113,0)-1,0)</f>
        <v>428.5</v>
      </c>
      <c r="J36" s="43">
        <f ca="1">486.9*OFFSET(J$112,MATCH($N$1,$C$112:$C$113,0)-1,0)</f>
        <v>486.9</v>
      </c>
      <c r="K36" s="43">
        <f ca="1">390.5*OFFSET(K$112,MATCH($N$1,$C$112:$C$113,0)-1,0)</f>
        <v>390.5</v>
      </c>
      <c r="L36" s="43">
        <f ca="1">341.9*OFFSET(L$112,MATCH($N$1,$C$112:$C$113,0)-1,0)</f>
        <v>341.9</v>
      </c>
      <c r="M36" s="43">
        <f ca="1">248.5*OFFSET(M$112,MATCH($N$1,$C$112:$C$113,0)-1,0)</f>
        <v>248.5</v>
      </c>
      <c r="N36" s="43">
        <v>288.89999999999998</v>
      </c>
      <c r="O36" s="29">
        <f t="shared" ca="1" si="0"/>
        <v>-0.18642635877217698</v>
      </c>
      <c r="P36" s="29">
        <f t="shared" ca="1" si="1"/>
        <v>-0.40665434380776344</v>
      </c>
    </row>
    <row r="37" spans="1:16" ht="18" customHeight="1" x14ac:dyDescent="0.2">
      <c r="A37" s="199"/>
      <c r="B37" s="42" t="s">
        <v>79</v>
      </c>
      <c r="C37" s="43"/>
      <c r="D37" s="43">
        <f ca="1">107.6*OFFSET(D$112,MATCH($N$1,$C$112:$C$113,0)-1,0)</f>
        <v>107.6</v>
      </c>
      <c r="E37" s="43">
        <f ca="1">34.1*OFFSET(E$112,MATCH($N$1,$C$112:$C$113,0)-1,0)</f>
        <v>34.1</v>
      </c>
      <c r="F37" s="43">
        <f ca="1">14.2*OFFSET(F$112,MATCH($N$1,$C$112:$C$113,0)-1,0)</f>
        <v>14.2</v>
      </c>
      <c r="G37" s="43">
        <f ca="1">65*OFFSET(G$112,MATCH($N$1,$C$112:$C$113,0)-1,0)</f>
        <v>65</v>
      </c>
      <c r="H37" s="43">
        <f ca="1">71.6*OFFSET(H$112,MATCH($N$1,$C$112:$C$113,0)-1,0)</f>
        <v>71.599999999999994</v>
      </c>
      <c r="I37" s="43">
        <f ca="1">153.4*OFFSET(I$112,MATCH($N$1,$C$112:$C$113,0)-1,0)</f>
        <v>153.4</v>
      </c>
      <c r="J37" s="43">
        <f ca="1">178.9*OFFSET(J$112,MATCH($N$1,$C$112:$C$113,0)-1,0)</f>
        <v>178.9</v>
      </c>
      <c r="K37" s="43">
        <f ca="1">115.6*OFFSET(K$112,MATCH($N$1,$C$112:$C$113,0)-1,0)</f>
        <v>115.6</v>
      </c>
      <c r="L37" s="43">
        <f ca="1">82.2*OFFSET(L$112,MATCH($N$1,$C$112:$C$113,0)-1,0)</f>
        <v>82.2</v>
      </c>
      <c r="M37" s="43">
        <f ca="1">16.1*OFFSET(M$112,MATCH($N$1,$C$112:$C$113,0)-1,0)</f>
        <v>16.100000000000001</v>
      </c>
      <c r="N37" s="43">
        <v>26.900000000000002</v>
      </c>
      <c r="O37" s="29">
        <f t="shared" ca="1" si="0"/>
        <v>-0.74999999999999989</v>
      </c>
      <c r="P37" s="29">
        <f t="shared" ca="1" si="1"/>
        <v>-0.84963666852990494</v>
      </c>
    </row>
    <row r="38" spans="1:16" ht="18" customHeight="1" x14ac:dyDescent="0.2">
      <c r="A38" s="199"/>
      <c r="B38" s="37" t="s">
        <v>80</v>
      </c>
      <c r="C38" s="33"/>
      <c r="D38" s="33">
        <f ca="1">5.6*OFFSET(D$112,MATCH($N$1,$C$112:$C$113,0)-1,0)</f>
        <v>5.6</v>
      </c>
      <c r="E38" s="33">
        <f ca="1">7.5*OFFSET(E$112,MATCH($N$1,$C$112:$C$113,0)-1,0)</f>
        <v>7.5</v>
      </c>
      <c r="F38" s="33">
        <f ca="1">7.1*OFFSET(F$112,MATCH($N$1,$C$112:$C$113,0)-1,0)</f>
        <v>7.1</v>
      </c>
      <c r="G38" s="33">
        <f ca="1">5.4*OFFSET(G$112,MATCH($N$1,$C$112:$C$113,0)-1,0)</f>
        <v>5.4</v>
      </c>
      <c r="H38" s="33">
        <f ca="1">9.6*OFFSET(H$112,MATCH($N$1,$C$112:$C$113,0)-1,0)</f>
        <v>9.6</v>
      </c>
      <c r="I38" s="33">
        <f ca="1">16.5*OFFSET(I$112,MATCH($N$1,$C$112:$C$113,0)-1,0)</f>
        <v>16.5</v>
      </c>
      <c r="J38" s="33">
        <f ca="1">33.6*OFFSET(J$112,MATCH($N$1,$C$112:$C$113,0)-1,0)</f>
        <v>33.6</v>
      </c>
      <c r="K38" s="33">
        <f ca="1">46.7*OFFSET(K$112,MATCH($N$1,$C$112:$C$113,0)-1,0)</f>
        <v>46.7</v>
      </c>
      <c r="L38" s="33">
        <f ca="1">40.6*OFFSET(L$112,MATCH($N$1,$C$112:$C$113,0)-1,0)</f>
        <v>40.6</v>
      </c>
      <c r="M38" s="33">
        <f ca="1">49.3*OFFSET(M$112,MATCH($N$1,$C$112:$C$113,0)-1,0)</f>
        <v>49.3</v>
      </c>
      <c r="N38" s="33"/>
      <c r="O38" s="29" t="str">
        <f t="shared" si="0"/>
        <v/>
      </c>
      <c r="P38" s="29" t="str">
        <f t="shared" si="1"/>
        <v/>
      </c>
    </row>
    <row r="39" spans="1:16" ht="18" customHeight="1" x14ac:dyDescent="0.2">
      <c r="A39" s="199"/>
      <c r="B39" s="37" t="s">
        <v>81</v>
      </c>
      <c r="C39" s="33"/>
      <c r="D39" s="33">
        <f ca="1">2.1*OFFSET(D$112,MATCH($N$1,$C$112:$C$113,0)-1,0)</f>
        <v>2.1</v>
      </c>
      <c r="E39" s="33">
        <f ca="1">3.2*OFFSET(E$112,MATCH($N$1,$C$112:$C$113,0)-1,0)</f>
        <v>3.2</v>
      </c>
      <c r="F39" s="33">
        <f ca="1">3.1*OFFSET(F$112,MATCH($N$1,$C$112:$C$113,0)-1,0)</f>
        <v>3.1</v>
      </c>
      <c r="G39" s="33">
        <f ca="1">2.6*OFFSET(G$112,MATCH($N$1,$C$112:$C$113,0)-1,0)</f>
        <v>2.6</v>
      </c>
      <c r="H39" s="33">
        <f ca="1">3.2*OFFSET(H$112,MATCH($N$1,$C$112:$C$113,0)-1,0)</f>
        <v>3.2</v>
      </c>
      <c r="I39" s="33">
        <f ca="1">2.1*OFFSET(I$112,MATCH($N$1,$C$112:$C$113,0)-1,0)</f>
        <v>2.1</v>
      </c>
      <c r="J39" s="33">
        <f ca="1">2.2*OFFSET(J$112,MATCH($N$1,$C$112:$C$113,0)-1,0)</f>
        <v>2.2000000000000002</v>
      </c>
      <c r="K39" s="33">
        <f ca="1">1.6*OFFSET(K$112,MATCH($N$1,$C$112:$C$113,0)-1,0)</f>
        <v>1.6</v>
      </c>
      <c r="L39" s="33">
        <f ca="1">1.2*OFFSET(L$112,MATCH($N$1,$C$112:$C$113,0)-1,0)</f>
        <v>1.2</v>
      </c>
      <c r="M39" s="33"/>
      <c r="N39" s="33"/>
      <c r="O39" s="29" t="str">
        <f t="shared" si="0"/>
        <v/>
      </c>
      <c r="P39" s="29" t="str">
        <f t="shared" si="1"/>
        <v/>
      </c>
    </row>
    <row r="40" spans="1:16" ht="18" customHeight="1" x14ac:dyDescent="0.2">
      <c r="A40" s="199"/>
      <c r="B40" s="37" t="s">
        <v>82</v>
      </c>
      <c r="C40" s="33"/>
      <c r="D40" s="33">
        <f ca="1">0.8*OFFSET(D$112,MATCH($N$1,$C$112:$C$113,0)-1,0)</f>
        <v>0.8</v>
      </c>
      <c r="E40" s="33">
        <f ca="1">1*OFFSET(E$112,MATCH($N$1,$C$112:$C$113,0)-1,0)</f>
        <v>1</v>
      </c>
      <c r="F40" s="33">
        <f ca="1">1.8*OFFSET(F$112,MATCH($N$1,$C$112:$C$113,0)-1,0)</f>
        <v>1.8</v>
      </c>
      <c r="G40" s="33">
        <f ca="1">0.4*OFFSET(G$112,MATCH($N$1,$C$112:$C$113,0)-1,0)</f>
        <v>0.4</v>
      </c>
      <c r="H40" s="33">
        <f ca="1">2.1*OFFSET(H$112,MATCH($N$1,$C$112:$C$113,0)-1,0)</f>
        <v>2.1</v>
      </c>
      <c r="I40" s="33">
        <f ca="1">0.1*OFFSET(I$112,MATCH($N$1,$C$112:$C$113,0)-1,0)</f>
        <v>0.1</v>
      </c>
      <c r="J40" s="33">
        <f ca="1">0.6*OFFSET(J$112,MATCH($N$1,$C$112:$C$113,0)-1,0)</f>
        <v>0.6</v>
      </c>
      <c r="K40" s="33">
        <f ca="1">0.3*OFFSET(K$112,MATCH($N$1,$C$112:$C$113,0)-1,0)</f>
        <v>0.3</v>
      </c>
      <c r="L40" s="33">
        <f ca="1">0.1*OFFSET(L$112,MATCH($N$1,$C$112:$C$113,0)-1,0)</f>
        <v>0.1</v>
      </c>
      <c r="M40" s="33">
        <f ca="1">0.4*OFFSET(M$112,MATCH($N$1,$C$112:$C$113,0)-1,0)</f>
        <v>0.4</v>
      </c>
      <c r="N40" s="33"/>
      <c r="O40" s="29" t="str">
        <f t="shared" si="0"/>
        <v/>
      </c>
      <c r="P40" s="29" t="str">
        <f t="shared" si="1"/>
        <v/>
      </c>
    </row>
    <row r="41" spans="1:16" ht="18" customHeight="1" thickBot="1" x14ac:dyDescent="0.25">
      <c r="A41" s="200"/>
      <c r="B41" s="44" t="s">
        <v>83</v>
      </c>
      <c r="C41" s="45"/>
      <c r="D41" s="45">
        <f ca="1">99.2*OFFSET(D$112,MATCH($N$1,$C$112:$C$113,0)-1,0)</f>
        <v>99.2</v>
      </c>
      <c r="E41" s="45">
        <f ca="1">22.4*OFFSET(E$112,MATCH($N$1,$C$112:$C$113,0)-1,0)</f>
        <v>22.4</v>
      </c>
      <c r="F41" s="45">
        <f ca="1">2.3*OFFSET(F$112,MATCH($N$1,$C$112:$C$113,0)-1,0)</f>
        <v>2.2999999999999998</v>
      </c>
      <c r="G41" s="45">
        <f ca="1">56.7*OFFSET(G$112,MATCH($N$1,$C$112:$C$113,0)-1,0)</f>
        <v>56.7</v>
      </c>
      <c r="H41" s="45">
        <f ca="1">56.7*OFFSET(H$112,MATCH($N$1,$C$112:$C$113,0)-1,0)</f>
        <v>56.7</v>
      </c>
      <c r="I41" s="45">
        <f ca="1">134.7*OFFSET(I$112,MATCH($N$1,$C$112:$C$113,0)-1,0)</f>
        <v>134.69999999999999</v>
      </c>
      <c r="J41" s="45">
        <f ca="1">142.5*OFFSET(J$112,MATCH($N$1,$C$112:$C$113,0)-1,0)</f>
        <v>142.5</v>
      </c>
      <c r="K41" s="45">
        <f ca="1">66.9*OFFSET(K$112,MATCH($N$1,$C$112:$C$113,0)-1,0)</f>
        <v>66.900000000000006</v>
      </c>
      <c r="L41" s="45">
        <f ca="1">40.2*OFFSET(L$112,MATCH($N$1,$C$112:$C$113,0)-1,0)</f>
        <v>40.200000000000003</v>
      </c>
      <c r="M41" s="45">
        <f ca="1">-34*OFFSET(M$112,MATCH($N$1,$C$112:$C$113,0)-1,0)</f>
        <v>-34</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22</v>
      </c>
      <c r="F46" s="94" t="s">
        <v>130</v>
      </c>
      <c r="G46" s="94" t="s">
        <v>130</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South West beamers over 250kW</v>
      </c>
      <c r="C48" s="96"/>
      <c r="D48" s="96"/>
      <c r="E48" s="96"/>
      <c r="F48" s="96"/>
      <c r="G48" s="96"/>
      <c r="K48" s="96" t="str">
        <f>$B24&amp;CHAR(10)&amp;$A$1</f>
        <v>Operating profit per kW day at sea (£)
South West beamers over 250kW</v>
      </c>
    </row>
    <row r="49" spans="1:11" s="82" customFormat="1" x14ac:dyDescent="0.2">
      <c r="A49" s="96" t="str">
        <f>$B22&amp;CHAR(10)&amp;$A$1</f>
        <v>Fishing income per kW day at sea (£)
South West beamers over 250kW</v>
      </c>
    </row>
    <row r="50" spans="1:11" s="82" customFormat="1" x14ac:dyDescent="0.2">
      <c r="A50" s="96" t="str">
        <f>$B20&amp;CHAR(10)&amp;$A$1</f>
        <v>Average price per tonne landed (£)
South West beamers over 250kW</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South West beamers over 250kW</v>
      </c>
      <c r="F62" s="96" t="str">
        <f>$B20&amp;CHAR(10)&amp;$A$1</f>
        <v>Average price per tonne landed (£)
South West beamers over 250kW</v>
      </c>
      <c r="K62" s="96" t="str">
        <f>"Average annual operating profit per vessel (£'000)"&amp;CHAR(10)&amp;$A$1</f>
        <v>Average annual operating profit per vessel (£'000)
South West beamers over 250kW</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South West beamers over 250kW</v>
      </c>
      <c r="F76" s="96" t="str">
        <f>"Top 5 landed species by value in "&amp;A77&amp;CHAR(10)&amp;A1</f>
        <v>Top 5 landed species by value in 2020
South West beamers over 250kW</v>
      </c>
    </row>
    <row r="77" spans="1:11" s="96" customFormat="1" x14ac:dyDescent="0.2">
      <c r="A77" s="96">
        <v>2020</v>
      </c>
      <c r="B77" s="96" t="s">
        <v>405</v>
      </c>
      <c r="C77" s="97">
        <v>0.26934500029345604</v>
      </c>
      <c r="D77" s="98">
        <v>553960</v>
      </c>
      <c r="G77" s="96" t="s">
        <v>406</v>
      </c>
      <c r="H77" s="97">
        <v>0.31771057487990434</v>
      </c>
      <c r="I77" s="98">
        <v>12153634</v>
      </c>
      <c r="K77" s="96" t="s">
        <v>87</v>
      </c>
    </row>
    <row r="78" spans="1:11" s="96" customFormat="1" x14ac:dyDescent="0.2">
      <c r="B78" s="96" t="s">
        <v>370</v>
      </c>
      <c r="C78" s="97">
        <v>0.17955191731396486</v>
      </c>
      <c r="D78" s="98">
        <v>3050596</v>
      </c>
      <c r="G78" s="96" t="s">
        <v>407</v>
      </c>
      <c r="H78" s="97">
        <v>0.17928714856746952</v>
      </c>
      <c r="I78" s="98">
        <v>553960</v>
      </c>
    </row>
    <row r="79" spans="1:11" s="96" customFormat="1" x14ac:dyDescent="0.2">
      <c r="B79" s="96" t="s">
        <v>408</v>
      </c>
      <c r="C79" s="97">
        <v>9.1336796163105777E-2</v>
      </c>
      <c r="D79" s="98">
        <v>12153634</v>
      </c>
      <c r="G79" s="96" t="s">
        <v>409</v>
      </c>
      <c r="H79" s="97">
        <v>0.15900784160280246</v>
      </c>
      <c r="I79" s="98">
        <v>3050596</v>
      </c>
    </row>
    <row r="80" spans="1:11" s="96" customFormat="1" x14ac:dyDescent="0.2">
      <c r="B80" s="96" t="s">
        <v>410</v>
      </c>
      <c r="C80" s="97">
        <v>7.6837325400916159E-2</v>
      </c>
      <c r="D80" s="98">
        <v>3689192</v>
      </c>
      <c r="G80" s="96" t="s">
        <v>411</v>
      </c>
      <c r="H80" s="97">
        <v>6.587670195042912E-2</v>
      </c>
      <c r="I80" s="98">
        <v>1692097</v>
      </c>
    </row>
    <row r="81" spans="1:19" s="96" customFormat="1" x14ac:dyDescent="0.2">
      <c r="B81" s="96" t="s">
        <v>412</v>
      </c>
      <c r="C81" s="97">
        <v>5.4483129473388764E-2</v>
      </c>
      <c r="D81" s="98">
        <v>11115023</v>
      </c>
      <c r="G81" s="96" t="s">
        <v>413</v>
      </c>
      <c r="H81" s="97">
        <v>5.4523338361020732E-2</v>
      </c>
      <c r="I81" s="98">
        <v>3689192</v>
      </c>
    </row>
    <row r="82" spans="1:19" s="96" customFormat="1" x14ac:dyDescent="0.2">
      <c r="B82" s="96" t="s">
        <v>414</v>
      </c>
      <c r="C82" s="97">
        <v>0.32844583135516847</v>
      </c>
      <c r="D82" s="98">
        <v>5920853</v>
      </c>
      <c r="G82" s="96" t="s">
        <v>415</v>
      </c>
      <c r="H82" s="97">
        <v>0.22359439463837372</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144</v>
      </c>
      <c r="D92" s="102">
        <v>0.15845508092565253</v>
      </c>
      <c r="E92" s="102">
        <v>0.17523785755694227</v>
      </c>
      <c r="F92" s="102">
        <v>0.17149999564235588</v>
      </c>
      <c r="G92" s="102">
        <v>0.1529604113862818</v>
      </c>
      <c r="H92" s="102">
        <v>0.18959752305170621</v>
      </c>
      <c r="I92" s="102">
        <v>0.16614743835157719</v>
      </c>
      <c r="J92" s="102">
        <v>0.19937490722779741</v>
      </c>
      <c r="K92" s="102">
        <v>0.27884074077238646</v>
      </c>
      <c r="L92" s="102">
        <v>0.31771057487990434</v>
      </c>
      <c r="M92" s="102">
        <v>0.34985303942830848</v>
      </c>
      <c r="O92" s="96">
        <v>12153634</v>
      </c>
    </row>
    <row r="93" spans="1:19" s="96" customFormat="1" hidden="1" x14ac:dyDescent="0.2">
      <c r="B93" s="96">
        <v>2</v>
      </c>
      <c r="C93" s="96" t="s">
        <v>103</v>
      </c>
      <c r="D93" s="102">
        <v>0.2277232417206777</v>
      </c>
      <c r="E93" s="102">
        <v>0.14044372285931914</v>
      </c>
      <c r="F93" s="102">
        <v>0.12026512423791083</v>
      </c>
      <c r="G93" s="102">
        <v>0.19761453663319356</v>
      </c>
      <c r="H93" s="102">
        <v>0.20718827503181445</v>
      </c>
      <c r="I93" s="102">
        <v>0.34453259591279434</v>
      </c>
      <c r="J93" s="102">
        <v>0.30844676890742695</v>
      </c>
      <c r="K93" s="102">
        <v>0.22047462320635197</v>
      </c>
      <c r="L93" s="102">
        <v>0.17928714856746952</v>
      </c>
      <c r="M93" s="102">
        <v>0.13910998791917209</v>
      </c>
      <c r="O93" s="96">
        <v>553960</v>
      </c>
    </row>
    <row r="94" spans="1:19" s="96" customFormat="1" hidden="1" x14ac:dyDescent="0.2">
      <c r="B94" s="96">
        <v>3</v>
      </c>
      <c r="C94" s="96" t="s">
        <v>143</v>
      </c>
      <c r="D94" s="102">
        <v>0.25375438361534997</v>
      </c>
      <c r="E94" s="102">
        <v>0.28544618880128109</v>
      </c>
      <c r="F94" s="102">
        <v>0.27769541338015363</v>
      </c>
      <c r="G94" s="102">
        <v>0.2339463935669272</v>
      </c>
      <c r="H94" s="102">
        <v>0.22867763511208491</v>
      </c>
      <c r="I94" s="102">
        <v>0.14698067935723791</v>
      </c>
      <c r="J94" s="102">
        <v>0.12296730930595905</v>
      </c>
      <c r="K94" s="102">
        <v>0.13672487046849305</v>
      </c>
      <c r="L94" s="102">
        <v>0.15900784160280246</v>
      </c>
      <c r="M94" s="102">
        <v>0.14659467129912823</v>
      </c>
      <c r="O94" s="96">
        <v>3050596</v>
      </c>
    </row>
    <row r="95" spans="1:19" s="96" customFormat="1" hidden="1" x14ac:dyDescent="0.2">
      <c r="B95" s="96">
        <v>4</v>
      </c>
      <c r="C95" s="96" t="s">
        <v>147</v>
      </c>
      <c r="D95" s="102"/>
      <c r="E95" s="102"/>
      <c r="F95" s="102"/>
      <c r="G95" s="102"/>
      <c r="H95" s="102">
        <v>4.652832410234798E-2</v>
      </c>
      <c r="I95" s="102"/>
      <c r="J95" s="102">
        <v>5.3408680769836292E-2</v>
      </c>
      <c r="K95" s="102">
        <v>6.1038387538084819E-2</v>
      </c>
      <c r="L95" s="102">
        <v>6.587670195042912E-2</v>
      </c>
      <c r="M95" s="102">
        <v>6.6449041512432611E-2</v>
      </c>
      <c r="O95" s="96">
        <v>1692097</v>
      </c>
    </row>
    <row r="96" spans="1:19" s="96" customFormat="1" hidden="1" x14ac:dyDescent="0.2">
      <c r="B96" s="96">
        <v>5</v>
      </c>
      <c r="C96" s="96" t="s">
        <v>128</v>
      </c>
      <c r="D96" s="102"/>
      <c r="E96" s="102"/>
      <c r="F96" s="102"/>
      <c r="G96" s="102"/>
      <c r="H96" s="102"/>
      <c r="I96" s="102"/>
      <c r="J96" s="102"/>
      <c r="K96" s="102">
        <v>5.6490210031354529E-2</v>
      </c>
      <c r="L96" s="102">
        <v>5.4523338361020732E-2</v>
      </c>
      <c r="M96" s="102">
        <v>5.1295027075077632E-2</v>
      </c>
      <c r="O96" s="96">
        <v>3689192</v>
      </c>
    </row>
    <row r="97" spans="1:15" s="96" customFormat="1" hidden="1" x14ac:dyDescent="0.2">
      <c r="B97" s="96">
        <v>6</v>
      </c>
      <c r="C97" s="96" t="s">
        <v>100</v>
      </c>
      <c r="D97" s="102">
        <v>4.5709799173624832E-2</v>
      </c>
      <c r="E97" s="102"/>
      <c r="F97" s="102"/>
      <c r="G97" s="102">
        <v>6.4679750568691893E-2</v>
      </c>
      <c r="H97" s="102"/>
      <c r="I97" s="102">
        <v>6.003008109332942E-2</v>
      </c>
      <c r="J97" s="102">
        <v>6.6029854225385556E-2</v>
      </c>
      <c r="K97" s="102"/>
      <c r="L97" s="102"/>
      <c r="M97" s="102"/>
      <c r="O97" s="96">
        <v>11115023</v>
      </c>
    </row>
    <row r="98" spans="1:15" s="96" customFormat="1" hidden="1" x14ac:dyDescent="0.2">
      <c r="B98" s="96">
        <v>7</v>
      </c>
      <c r="C98" s="96" t="s">
        <v>175</v>
      </c>
      <c r="D98" s="102">
        <v>8.0665614706986744E-2</v>
      </c>
      <c r="E98" s="102">
        <v>0.11600299775354173</v>
      </c>
      <c r="F98" s="102">
        <v>0.12993787550520974</v>
      </c>
      <c r="G98" s="102">
        <v>0.11720822020461284</v>
      </c>
      <c r="H98" s="102">
        <v>9.0714107937631044E-2</v>
      </c>
      <c r="I98" s="102">
        <v>5.8044314720721538E-2</v>
      </c>
      <c r="J98" s="102"/>
      <c r="K98" s="102"/>
      <c r="L98" s="102"/>
      <c r="M98" s="102"/>
      <c r="O98" s="96">
        <v>2480382</v>
      </c>
    </row>
    <row r="99" spans="1:15" s="96" customFormat="1" hidden="1" x14ac:dyDescent="0.2">
      <c r="B99" s="96">
        <v>8</v>
      </c>
      <c r="C99" s="96" t="s">
        <v>193</v>
      </c>
      <c r="D99" s="102"/>
      <c r="E99" s="102">
        <v>4.4009534356624976E-2</v>
      </c>
      <c r="F99" s="102">
        <v>5.1733637009427139E-2</v>
      </c>
      <c r="G99" s="102"/>
      <c r="H99" s="102"/>
      <c r="I99" s="102"/>
      <c r="J99" s="102"/>
      <c r="K99" s="102"/>
      <c r="L99" s="102"/>
      <c r="M99" s="102"/>
      <c r="O99" s="96">
        <v>7434864</v>
      </c>
    </row>
    <row r="100" spans="1:15" s="96" customFormat="1" hidden="1" x14ac:dyDescent="0.2">
      <c r="B100" s="96">
        <v>9</v>
      </c>
      <c r="C100" s="96" t="s">
        <v>107</v>
      </c>
      <c r="D100" s="102">
        <v>0.23369187985770823</v>
      </c>
      <c r="E100" s="102">
        <v>0.23885969867229079</v>
      </c>
      <c r="F100" s="102">
        <v>0.24886795422494276</v>
      </c>
      <c r="G100" s="102">
        <v>0.23359068764029273</v>
      </c>
      <c r="H100" s="102">
        <v>0.23729413476441538</v>
      </c>
      <c r="I100" s="102">
        <v>0.2242648905643396</v>
      </c>
      <c r="J100" s="102">
        <v>0.24977247956359475</v>
      </c>
      <c r="K100" s="102">
        <v>0.24643116798332917</v>
      </c>
      <c r="L100" s="102">
        <v>0.22359439463837386</v>
      </c>
      <c r="M100" s="102">
        <v>0.24669823276588096</v>
      </c>
      <c r="O100" s="96">
        <v>5920853</v>
      </c>
    </row>
    <row r="101" spans="1:15" s="96" customFormat="1" hidden="1" x14ac:dyDescent="0.2">
      <c r="B101" s="96">
        <v>10</v>
      </c>
      <c r="D101" s="102"/>
      <c r="E101" s="102"/>
      <c r="F101" s="102"/>
      <c r="G101" s="102"/>
      <c r="H101" s="102"/>
      <c r="I101" s="102"/>
      <c r="J101" s="102"/>
      <c r="K101" s="102"/>
      <c r="L101" s="102"/>
      <c r="M101" s="102"/>
      <c r="O101" s="96">
        <v>14393110</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10</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7</v>
      </c>
      <c r="D120" s="56">
        <v>12</v>
      </c>
      <c r="E120" s="56">
        <v>7</v>
      </c>
      <c r="F120" s="57">
        <v>24</v>
      </c>
    </row>
    <row r="121" spans="1:15" ht="18" customHeight="1" x14ac:dyDescent="0.2">
      <c r="A121" s="194" t="s">
        <v>27</v>
      </c>
      <c r="B121" s="35" t="s">
        <v>62</v>
      </c>
      <c r="C121" s="58">
        <v>28.007143020629883</v>
      </c>
      <c r="D121" s="58">
        <v>28.771665573120117</v>
      </c>
      <c r="E121" s="58">
        <v>31.129999160766602</v>
      </c>
      <c r="F121" s="59">
        <v>29.592500686645508</v>
      </c>
    </row>
    <row r="122" spans="1:15" ht="18" customHeight="1" x14ac:dyDescent="0.2">
      <c r="A122" s="195"/>
      <c r="B122" s="37" t="s">
        <v>55</v>
      </c>
      <c r="C122" s="60">
        <v>653.28570556640625</v>
      </c>
      <c r="D122" s="60">
        <v>621.58334350585938</v>
      </c>
      <c r="E122" s="60">
        <v>601.85711669921875</v>
      </c>
      <c r="F122" s="61">
        <v>613.16668701171875</v>
      </c>
    </row>
    <row r="123" spans="1:15" ht="18" customHeight="1" x14ac:dyDescent="0.2">
      <c r="A123" s="195"/>
      <c r="B123" s="37" t="s">
        <v>56</v>
      </c>
      <c r="C123" s="60">
        <v>177</v>
      </c>
      <c r="D123" s="60">
        <v>171.58333587646484</v>
      </c>
      <c r="E123" s="60">
        <v>186.28572082519531</v>
      </c>
      <c r="F123" s="61">
        <v>187.625</v>
      </c>
    </row>
    <row r="124" spans="1:15" ht="18" customHeight="1" x14ac:dyDescent="0.2">
      <c r="A124" s="195"/>
      <c r="B124" s="37" t="s">
        <v>57</v>
      </c>
      <c r="C124" s="60">
        <v>493.59298706054688</v>
      </c>
      <c r="D124" s="60">
        <v>482.72917175292969</v>
      </c>
      <c r="E124" s="60">
        <v>475.69683837890625</v>
      </c>
      <c r="F124" s="61">
        <v>483.90740966796875</v>
      </c>
    </row>
    <row r="125" spans="1:15" ht="18" customHeight="1" x14ac:dyDescent="0.2">
      <c r="A125" s="195"/>
      <c r="B125" s="37" t="s">
        <v>58</v>
      </c>
      <c r="C125" s="33">
        <v>288.76007080078125</v>
      </c>
      <c r="D125" s="33">
        <v>309.66160583496094</v>
      </c>
      <c r="E125" s="33">
        <v>217.80943298339844</v>
      </c>
      <c r="F125" s="62">
        <v>280.08966064453125</v>
      </c>
    </row>
    <row r="126" spans="1:15" ht="18" customHeight="1" x14ac:dyDescent="0.2">
      <c r="A126" s="195"/>
      <c r="B126" s="37" t="s">
        <v>63</v>
      </c>
      <c r="C126" s="33">
        <f ca="1">1100.921875*OFFSET($L$112,MATCH($N$1,$C$112:$C$113,0)-1,0)</f>
        <v>1100.921875</v>
      </c>
      <c r="D126" s="33">
        <f ca="1">1093.304625*OFFSET($L$112,MATCH($N$1,$C$112:$C$113,0)-1,0)</f>
        <v>1093.304625</v>
      </c>
      <c r="E126" s="33">
        <f ca="1">760.9295*OFFSET($L$112,MATCH($N$1,$C$112:$C$113,0)-1,0)</f>
        <v>760.92949999999996</v>
      </c>
      <c r="F126" s="62">
        <f ca="1">902.4503125*OFFSET($L$112,MATCH($N$1,$C$112:$C$113,0)-1,0)</f>
        <v>902.4503125</v>
      </c>
    </row>
    <row r="127" spans="1:15" ht="18" customHeight="1" x14ac:dyDescent="0.2">
      <c r="A127" s="195"/>
      <c r="B127" s="37" t="s">
        <v>60</v>
      </c>
      <c r="C127" s="60">
        <v>179.42857360839844</v>
      </c>
      <c r="D127" s="60">
        <v>229</v>
      </c>
      <c r="E127" s="60">
        <v>176.14285278320313</v>
      </c>
      <c r="F127" s="61">
        <v>212.83332824707031</v>
      </c>
    </row>
    <row r="128" spans="1:15" ht="18" customHeight="1" x14ac:dyDescent="0.2">
      <c r="A128" s="195"/>
      <c r="B128" s="37" t="s">
        <v>64</v>
      </c>
      <c r="C128" s="60">
        <v>41.571430206298828</v>
      </c>
      <c r="D128" s="60">
        <v>45.416667938232422</v>
      </c>
      <c r="E128" s="60">
        <v>47.666667938232422</v>
      </c>
      <c r="F128" s="61">
        <v>45.136363983154297</v>
      </c>
    </row>
    <row r="129" spans="1:15" ht="18" customHeight="1" x14ac:dyDescent="0.2">
      <c r="A129" s="195"/>
      <c r="B129" s="37" t="s">
        <v>65</v>
      </c>
      <c r="C129" s="63">
        <v>1.6093316078186035</v>
      </c>
      <c r="D129" s="63">
        <v>1.35223408661555</v>
      </c>
      <c r="E129" s="63">
        <v>1.236549973487854</v>
      </c>
      <c r="F129" s="64">
        <v>1.316004753112793</v>
      </c>
    </row>
    <row r="130" spans="1:15" ht="18" customHeight="1" x14ac:dyDescent="0.2">
      <c r="A130" s="196"/>
      <c r="B130" s="39" t="s">
        <v>28</v>
      </c>
      <c r="C130" s="40">
        <f ca="1">3812.58347785743*OFFSET($L$112,MATCH($N$1,$C$112:$C$113,0)-1,0)</f>
        <v>3812.5834778574299</v>
      </c>
      <c r="D130" s="40">
        <f ca="1">3530.64314205841*OFFSET($L$112,MATCH($N$1,$C$112:$C$113,0)-1,0)</f>
        <v>3530.6431420584099</v>
      </c>
      <c r="E130" s="40">
        <f ca="1">3493.55622287488*OFFSET($L$112,MATCH($N$1,$C$112:$C$113,0)-1,0)</f>
        <v>3493.5562228748799</v>
      </c>
      <c r="F130" s="65">
        <f ca="1">3222*OFFSET($L$112,MATCH($N$1,$C$112:$C$113,0)-1,0)</f>
        <v>3222</v>
      </c>
    </row>
    <row r="131" spans="1:15" ht="18" customHeight="1" x14ac:dyDescent="0.2">
      <c r="A131" s="205" t="s">
        <v>29</v>
      </c>
      <c r="B131" s="35" t="s">
        <v>66</v>
      </c>
      <c r="C131" s="66">
        <v>2.4216043776638112</v>
      </c>
      <c r="D131" s="66">
        <v>2.1887448051618166</v>
      </c>
      <c r="E131" s="66">
        <v>1.9813157743649663</v>
      </c>
      <c r="F131" s="67">
        <v>2.109572295360203</v>
      </c>
    </row>
    <row r="132" spans="1:15" ht="18" customHeight="1" x14ac:dyDescent="0.2">
      <c r="A132" s="206"/>
      <c r="B132" s="37" t="s">
        <v>67</v>
      </c>
      <c r="C132" s="63">
        <f ca="1">9.23256884018827*OFFSET($L$112,MATCH($N$1,$C$112:$C$113,0)-1,0)</f>
        <v>9.2325688401882697</v>
      </c>
      <c r="D132" s="63">
        <f ca="1">7.72767683606054*OFFSET($L$112,MATCH($N$1,$C$112:$C$113,0)-1,0)</f>
        <v>7.7276768360605397</v>
      </c>
      <c r="E132" s="63">
        <f ca="1">6.92183805301288*OFFSET($L$112,MATCH($N$1,$C$112:$C$113,0)-1,0)</f>
        <v>6.9218380530128796</v>
      </c>
      <c r="F132" s="64">
        <f ca="1">6.79705267523351*OFFSET($L$112,MATCH($N$1,$C$112:$C$113,0)-1,0)</f>
        <v>6.7970526752335099</v>
      </c>
    </row>
    <row r="133" spans="1:15" ht="18" customHeight="1" x14ac:dyDescent="0.2">
      <c r="A133" s="206"/>
      <c r="B133" s="37" t="s">
        <v>11</v>
      </c>
      <c r="C133" s="63">
        <f ca="1">7.82934744558803*OFFSET($L$112,MATCH($N$1,$C$112:$C$113,0)-1,0)</f>
        <v>7.8293474455880299</v>
      </c>
      <c r="D133" s="63">
        <f ca="1">7.07067821007661*OFFSET($L$112,MATCH($N$1,$C$112:$C$113,0)-1,0)</f>
        <v>7.0706782100766103</v>
      </c>
      <c r="E133" s="63">
        <f ca="1">7.11664626100621*OFFSET($L$112,MATCH($N$1,$C$112:$C$113,0)-1,0)</f>
        <v>7.1166462610062098</v>
      </c>
      <c r="F133" s="64">
        <f ca="1">6.67569496511435*OFFSET($L$112,MATCH($N$1,$C$112:$C$113,0)-1,0)</f>
        <v>6.6756949651143502</v>
      </c>
    </row>
    <row r="134" spans="1:15" ht="18" customHeight="1" x14ac:dyDescent="0.2">
      <c r="A134" s="207"/>
      <c r="B134" s="39" t="s">
        <v>12</v>
      </c>
      <c r="C134" s="68">
        <f ca="1">1.40322139460023*OFFSET($L$112,MATCH($N$1,$C$112:$C$113,0)-1,0)</f>
        <v>1.4032213946002301</v>
      </c>
      <c r="D134" s="68">
        <f ca="1">0.656998625983937*OFFSET($L$112,MATCH($N$1,$C$112:$C$113,0)-1,0)</f>
        <v>0.65699862598393699</v>
      </c>
      <c r="E134" s="68">
        <f ca="1">-0.194808207993329*OFFSET($L$112,MATCH($N$1,$C$112:$C$113,0)-1,0)</f>
        <v>-0.19480820799332901</v>
      </c>
      <c r="F134" s="69">
        <f ca="1">0.121357710119163*OFFSET($L$112,MATCH($N$1,$C$112:$C$113,0)-1,0)</f>
        <v>0.12135771011916301</v>
      </c>
    </row>
    <row r="135" spans="1:15" ht="18" customHeight="1" x14ac:dyDescent="0.2">
      <c r="A135" s="208" t="s">
        <v>49</v>
      </c>
      <c r="B135" s="37" t="s">
        <v>109</v>
      </c>
      <c r="C135" s="70">
        <f ca="1">236.760921875*OFFSET($L$112,MATCH($N$1,$C$112:$C$113,0)-1,0)</f>
        <v>236.76092187500001</v>
      </c>
      <c r="D135" s="70">
        <f ca="1">308.33825*OFFSET($L$112,MATCH($N$1,$C$112:$C$113,0)-1,0)</f>
        <v>308.33825000000002</v>
      </c>
      <c r="E135" s="70">
        <f ca="1">300.70946875*OFFSET($L$112,MATCH($N$1,$C$112:$C$113,0)-1,0)</f>
        <v>300.70946874999998</v>
      </c>
      <c r="F135" s="71">
        <f ca="1">221.258515625*OFFSET($L$112,MATCH($N$1,$C$112:$C$113,0)-1,0)</f>
        <v>221.258515625</v>
      </c>
    </row>
    <row r="136" spans="1:15" ht="18" customHeight="1" x14ac:dyDescent="0.2">
      <c r="A136" s="209"/>
      <c r="B136" s="37" t="s">
        <v>110</v>
      </c>
      <c r="C136" s="31">
        <v>456342.84650380164</v>
      </c>
      <c r="D136" s="31">
        <v>593283.31828356721</v>
      </c>
      <c r="E136" s="31">
        <v>578728.56676564366</v>
      </c>
      <c r="F136" s="72">
        <v>597733.33333333337</v>
      </c>
    </row>
    <row r="137" spans="1:15" ht="18" customHeight="1" x14ac:dyDescent="0.2">
      <c r="A137" s="209"/>
      <c r="B137" s="37" t="s">
        <v>111</v>
      </c>
      <c r="C137" s="31">
        <v>2543.31201171875</v>
      </c>
      <c r="D137" s="31">
        <v>2590.7568483998566</v>
      </c>
      <c r="E137" s="31">
        <v>3285.563720703125</v>
      </c>
      <c r="F137" s="72">
        <v>2808.457275390625</v>
      </c>
    </row>
    <row r="138" spans="1:15" ht="18" customHeight="1" x14ac:dyDescent="0.2">
      <c r="A138" s="209"/>
      <c r="B138" s="37" t="s">
        <v>112</v>
      </c>
      <c r="C138" s="31">
        <f ca="1">1319.52741480144*OFFSET($L$112,MATCH($N$1,$C$112:$C$113,0)-1,0)</f>
        <v>1319.52741480144</v>
      </c>
      <c r="D138" s="31">
        <f ca="1">1346.45524017467*OFFSET($L$112,MATCH($N$1,$C$112:$C$113,0)-1,0)</f>
        <v>1346.4552401746701</v>
      </c>
      <c r="E138" s="31">
        <f ca="1">1707.19086240822*OFFSET($L$112,MATCH($N$1,$C$112:$C$113,0)-1,0)</f>
        <v>1707.19086240822</v>
      </c>
      <c r="F138" s="72">
        <f ca="1">1039.58584610465*OFFSET($L$112,MATCH($N$1,$C$112:$C$113,0)-1,0)</f>
        <v>1039.58584610465</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819.922647956213*OFFSET($L$112,MATCH($N$1,$C$112:$C$113,0)-1,0)</f>
        <v>819.92264795621304</v>
      </c>
      <c r="D139" s="31">
        <f ca="1">995.726445222705*OFFSET($L$112,MATCH($N$1,$C$112:$C$113,0)-1,0)</f>
        <v>995.72644522270502</v>
      </c>
      <c r="E139" s="31">
        <f ca="1">1380.60810604525*OFFSET($L$112,MATCH($N$1,$C$112:$C$113,0)-1,0)</f>
        <v>1380.60810604525</v>
      </c>
      <c r="F139" s="72">
        <f ca="1">789.956027351558*OFFSET($L$112,MATCH($N$1,$C$112:$C$113,0)-1,0)</f>
        <v>789.95602735155796</v>
      </c>
      <c r="I139" s="48"/>
      <c r="K139" s="73" t="s">
        <v>114</v>
      </c>
      <c r="L139" s="74">
        <f t="shared" ref="L139:M141" ca="1" si="2">C140</f>
        <v>1100.9259999999999</v>
      </c>
      <c r="M139" s="74">
        <f t="shared" ca="1" si="2"/>
        <v>1093.3087499999999</v>
      </c>
      <c r="N139" s="74">
        <f ca="1">E140</f>
        <v>760.93237499999998</v>
      </c>
      <c r="O139" s="74"/>
    </row>
    <row r="140" spans="1:15" ht="18" customHeight="1" x14ac:dyDescent="0.2">
      <c r="A140" s="187" t="s">
        <v>50</v>
      </c>
      <c r="B140" s="35" t="s">
        <v>115</v>
      </c>
      <c r="C140" s="75">
        <f ca="1">1100.926*OFFSET($L$112,MATCH($N$1,$C$112:$C$113,0)-1,0)</f>
        <v>1100.9259999999999</v>
      </c>
      <c r="D140" s="75">
        <f ca="1">1093.30875*OFFSET($L$112,MATCH($N$1,$C$112:$C$113,0)-1,0)</f>
        <v>1093.3087499999999</v>
      </c>
      <c r="E140" s="75">
        <f ca="1">760.932375*OFFSET($L$112,MATCH($N$1,$C$112:$C$113,0)-1,0)</f>
        <v>760.93237499999998</v>
      </c>
      <c r="F140" s="76">
        <f ca="1">902.8673125*OFFSET($L$112,MATCH($N$1,$C$112:$C$113,0)-1,0)</f>
        <v>902.86731250000003</v>
      </c>
      <c r="I140" s="48"/>
      <c r="K140" s="73" t="s">
        <v>116</v>
      </c>
      <c r="L140" s="74">
        <f t="shared" ca="1" si="2"/>
        <v>933.60125000000005</v>
      </c>
      <c r="M140" s="74">
        <f t="shared" ca="1" si="2"/>
        <v>1000.3571875</v>
      </c>
      <c r="N140" s="74">
        <f ca="1">E141</f>
        <v>782.34799999999996</v>
      </c>
      <c r="O140" s="74"/>
    </row>
    <row r="141" spans="1:15" ht="18" customHeight="1" x14ac:dyDescent="0.2">
      <c r="A141" s="188"/>
      <c r="B141" s="37" t="s">
        <v>117</v>
      </c>
      <c r="C141" s="31">
        <f ca="1">933.60125*OFFSET($L$112,MATCH($N$1,$C$112:$C$113,0)-1,0)</f>
        <v>933.60125000000005</v>
      </c>
      <c r="D141" s="31">
        <f ca="1">1000.3571875*OFFSET($L$112,MATCH($N$1,$C$112:$C$113,0)-1,0)</f>
        <v>1000.3571875</v>
      </c>
      <c r="E141" s="31">
        <f ca="1">782.348*OFFSET($L$112,MATCH($N$1,$C$112:$C$113,0)-1,0)</f>
        <v>782.34799999999996</v>
      </c>
      <c r="F141" s="72">
        <f ca="1">886.7545625*OFFSET($L$112,MATCH($N$1,$C$112:$C$113,0)-1,0)</f>
        <v>886.75456250000002</v>
      </c>
      <c r="I141" s="48"/>
      <c r="K141" s="73" t="s">
        <v>118</v>
      </c>
      <c r="L141" s="74">
        <f t="shared" ca="1" si="2"/>
        <v>167.32474999999999</v>
      </c>
      <c r="M141" s="74">
        <f t="shared" ca="1" si="2"/>
        <v>92.951562499999994</v>
      </c>
      <c r="N141" s="74">
        <f ca="1">E142</f>
        <v>-21.415624999999999</v>
      </c>
      <c r="O141" s="74"/>
    </row>
    <row r="142" spans="1:15" ht="18" customHeight="1" x14ac:dyDescent="0.2">
      <c r="A142" s="189"/>
      <c r="B142" s="39" t="s">
        <v>119</v>
      </c>
      <c r="C142" s="40">
        <f ca="1">167.32475*OFFSET($L$112,MATCH($N$1,$C$112:$C$113,0)-1,0)</f>
        <v>167.32474999999999</v>
      </c>
      <c r="D142" s="40">
        <f ca="1">92.9515625*OFFSET($L$112,MATCH($N$1,$C$112:$C$113,0)-1,0)</f>
        <v>92.951562499999994</v>
      </c>
      <c r="E142" s="40">
        <f ca="1">-21.415625*OFFSET($L$112,MATCH($N$1,$C$112:$C$113,0)-1,0)</f>
        <v>-21.415624999999999</v>
      </c>
      <c r="F142" s="65">
        <f ca="1">16.112763671875*OFFSET($L$112,MATCH($N$1,$C$112:$C$113,0)-1,0)</f>
        <v>16.112763671875001</v>
      </c>
      <c r="I142" s="48"/>
      <c r="K142" s="73" t="s">
        <v>120</v>
      </c>
      <c r="L142" s="77">
        <f ca="1">IFERROR(L140/L$139,"")</f>
        <v>0.84801453503686908</v>
      </c>
      <c r="M142" s="77">
        <f t="shared" ref="M142:N143" ca="1" si="3">IFERROR(M140/M$139,"")</f>
        <v>0.91498141535956801</v>
      </c>
      <c r="N142" s="77">
        <f t="shared" ca="1" si="3"/>
        <v>1.0281439267188492</v>
      </c>
      <c r="O142" s="77"/>
    </row>
    <row r="143" spans="1:15" ht="18" customHeight="1" x14ac:dyDescent="0.2">
      <c r="I143" s="48"/>
      <c r="K143" s="73" t="s">
        <v>121</v>
      </c>
      <c r="L143" s="77">
        <f ca="1">IFERROR(L141/L$139,"")</f>
        <v>0.15198546496313103</v>
      </c>
      <c r="M143" s="77">
        <f t="shared" ca="1" si="3"/>
        <v>8.5018584640432091E-2</v>
      </c>
      <c r="N143" s="77">
        <f t="shared" ca="1" si="3"/>
        <v>-2.8143926718849358E-2</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9</v>
      </c>
      <c r="B161" s="53"/>
      <c r="C161" s="78" t="s">
        <v>45</v>
      </c>
      <c r="D161" s="78" t="s">
        <v>122</v>
      </c>
      <c r="E161" s="78" t="s">
        <v>47</v>
      </c>
      <c r="F161" s="78" t="s">
        <v>123</v>
      </c>
      <c r="G161" s="79">
        <v>9</v>
      </c>
      <c r="H161" s="78"/>
      <c r="I161" s="78" t="s">
        <v>45</v>
      </c>
      <c r="J161" s="78" t="s">
        <v>122</v>
      </c>
      <c r="K161" s="78" t="s">
        <v>47</v>
      </c>
      <c r="L161" s="53" t="s">
        <v>123</v>
      </c>
      <c r="R161" s="21"/>
      <c r="S161" s="21"/>
    </row>
    <row r="162" spans="1:19" s="48" customFormat="1" x14ac:dyDescent="0.2">
      <c r="A162" s="49">
        <v>1</v>
      </c>
      <c r="B162" s="53" t="s">
        <v>103</v>
      </c>
      <c r="C162" s="53">
        <v>0.21849780942392796</v>
      </c>
      <c r="D162" s="53">
        <v>0.33742736969007242</v>
      </c>
      <c r="E162" s="53">
        <v>0.23177325192248815</v>
      </c>
      <c r="F162" s="49">
        <v>553960</v>
      </c>
      <c r="G162" s="49">
        <v>1</v>
      </c>
      <c r="H162" s="53" t="s">
        <v>144</v>
      </c>
      <c r="I162" s="53">
        <v>0.3837019997525758</v>
      </c>
      <c r="J162" s="53">
        <v>0.34144537927125557</v>
      </c>
      <c r="K162" s="53">
        <v>0.11866401532035561</v>
      </c>
      <c r="L162" s="49">
        <v>12153634</v>
      </c>
      <c r="R162" s="21"/>
      <c r="S162" s="21"/>
    </row>
    <row r="163" spans="1:19" s="48" customFormat="1" x14ac:dyDescent="0.2">
      <c r="A163" s="49">
        <v>2</v>
      </c>
      <c r="B163" s="53" t="s">
        <v>143</v>
      </c>
      <c r="C163" s="53">
        <v>0.18891926507570844</v>
      </c>
      <c r="D163" s="53">
        <v>0.1983587918206367</v>
      </c>
      <c r="E163" s="53">
        <v>0.14961519612709751</v>
      </c>
      <c r="F163" s="49">
        <v>3050596</v>
      </c>
      <c r="G163" s="49">
        <v>2</v>
      </c>
      <c r="H163" s="53" t="s">
        <v>103</v>
      </c>
      <c r="I163" s="53">
        <v>0.13824725721908718</v>
      </c>
      <c r="J163" s="53">
        <v>0.20437394001446896</v>
      </c>
      <c r="K163" s="53">
        <v>0.15669890811299109</v>
      </c>
      <c r="L163" s="49">
        <v>553960</v>
      </c>
      <c r="N163" s="48" t="s">
        <v>124</v>
      </c>
      <c r="R163" s="21"/>
      <c r="S163" s="21"/>
    </row>
    <row r="164" spans="1:19" s="48" customFormat="1" x14ac:dyDescent="0.2">
      <c r="A164" s="49">
        <v>3</v>
      </c>
      <c r="B164" s="53" t="s">
        <v>144</v>
      </c>
      <c r="C164" s="53">
        <v>0.12789390903538198</v>
      </c>
      <c r="D164" s="53">
        <v>0.10028599247927784</v>
      </c>
      <c r="E164" s="53">
        <v>0</v>
      </c>
      <c r="F164" s="49">
        <v>12153634</v>
      </c>
      <c r="G164" s="49">
        <v>3</v>
      </c>
      <c r="H164" s="53" t="s">
        <v>143</v>
      </c>
      <c r="I164" s="53">
        <v>0.15220345697728435</v>
      </c>
      <c r="J164" s="53">
        <v>0.16532161456646841</v>
      </c>
      <c r="K164" s="53">
        <v>0.1282119292774232</v>
      </c>
      <c r="L164" s="49">
        <v>3050596</v>
      </c>
      <c r="N164" s="48" t="s">
        <v>125</v>
      </c>
      <c r="R164" s="21"/>
      <c r="S164" s="21"/>
    </row>
    <row r="165" spans="1:19" s="48" customFormat="1" x14ac:dyDescent="0.2">
      <c r="A165" s="49">
        <v>4</v>
      </c>
      <c r="B165" s="53" t="s">
        <v>128</v>
      </c>
      <c r="C165" s="53">
        <v>7.5829039104497481E-2</v>
      </c>
      <c r="D165" s="53">
        <v>9.5949049554692759E-2</v>
      </c>
      <c r="E165" s="53">
        <v>4.8838105433246778E-2</v>
      </c>
      <c r="F165" s="49">
        <v>3689192</v>
      </c>
      <c r="G165" s="49">
        <v>4</v>
      </c>
      <c r="H165" s="53" t="s">
        <v>147</v>
      </c>
      <c r="I165" s="53">
        <v>5.8583142265712415E-2</v>
      </c>
      <c r="J165" s="53">
        <v>7.7768909870715747E-2</v>
      </c>
      <c r="K165" s="53">
        <v>4.0932603396816904E-2</v>
      </c>
      <c r="L165" s="49">
        <v>1692097</v>
      </c>
      <c r="R165" s="21"/>
      <c r="S165" s="21"/>
    </row>
    <row r="166" spans="1:19" s="48" customFormat="1" x14ac:dyDescent="0.2">
      <c r="A166" s="49">
        <v>5</v>
      </c>
      <c r="B166" s="53" t="s">
        <v>416</v>
      </c>
      <c r="C166" s="53">
        <v>6.1126526678671668E-2</v>
      </c>
      <c r="D166" s="53">
        <v>6.6164086578299516E-2</v>
      </c>
      <c r="E166" s="53">
        <v>0</v>
      </c>
      <c r="F166" s="49">
        <v>11115023</v>
      </c>
      <c r="G166" s="49">
        <v>5</v>
      </c>
      <c r="H166" s="53" t="s">
        <v>128</v>
      </c>
      <c r="I166" s="53">
        <v>0</v>
      </c>
      <c r="J166" s="53">
        <v>6.4472016409649668E-2</v>
      </c>
      <c r="K166" s="53">
        <v>0</v>
      </c>
      <c r="L166" s="49">
        <v>3689192</v>
      </c>
      <c r="R166" s="21"/>
      <c r="S166" s="21"/>
    </row>
    <row r="167" spans="1:19" s="48" customFormat="1" x14ac:dyDescent="0.2">
      <c r="A167" s="49">
        <v>6</v>
      </c>
      <c r="B167" s="53" t="s">
        <v>175</v>
      </c>
      <c r="C167" s="53">
        <v>0</v>
      </c>
      <c r="D167" s="53">
        <v>0</v>
      </c>
      <c r="E167" s="53">
        <v>5.7978796185511938E-2</v>
      </c>
      <c r="F167" s="49">
        <v>2480382</v>
      </c>
      <c r="G167" s="49">
        <v>6</v>
      </c>
      <c r="H167" s="53" t="s">
        <v>175</v>
      </c>
      <c r="I167" s="53">
        <v>0</v>
      </c>
      <c r="J167" s="53">
        <v>0</v>
      </c>
      <c r="K167" s="53">
        <v>4.3919628735660049E-2</v>
      </c>
      <c r="L167" s="49">
        <v>2480382</v>
      </c>
      <c r="R167" s="21"/>
      <c r="S167" s="21"/>
    </row>
    <row r="168" spans="1:19" s="48" customFormat="1" x14ac:dyDescent="0.2">
      <c r="A168" s="49">
        <v>7</v>
      </c>
      <c r="B168" s="53" t="s">
        <v>100</v>
      </c>
      <c r="C168" s="53">
        <v>0</v>
      </c>
      <c r="D168" s="53">
        <v>0</v>
      </c>
      <c r="E168" s="53">
        <v>5.2787624827222664E-2</v>
      </c>
      <c r="F168" s="49">
        <v>7434864</v>
      </c>
      <c r="G168" s="49">
        <v>7</v>
      </c>
      <c r="H168" s="53" t="s">
        <v>146</v>
      </c>
      <c r="I168" s="53">
        <v>5.16276101015554E-2</v>
      </c>
      <c r="J168" s="53">
        <v>0</v>
      </c>
      <c r="K168" s="53">
        <v>0</v>
      </c>
      <c r="L168" s="49">
        <v>8497745</v>
      </c>
      <c r="R168" s="21"/>
      <c r="S168" s="21"/>
    </row>
    <row r="169" spans="1:19" s="48" customFormat="1" x14ac:dyDescent="0.2">
      <c r="A169" s="49">
        <v>8</v>
      </c>
      <c r="B169" s="53" t="s">
        <v>107</v>
      </c>
      <c r="C169" s="53">
        <v>0.32773345068181248</v>
      </c>
      <c r="D169" s="53">
        <v>0.20181470987702077</v>
      </c>
      <c r="E169" s="53">
        <v>0.45900702550443295</v>
      </c>
      <c r="F169" s="49">
        <v>5920853</v>
      </c>
      <c r="G169" s="49">
        <v>8</v>
      </c>
      <c r="H169" s="53" t="s">
        <v>107</v>
      </c>
      <c r="I169" s="53">
        <v>0.21563653368378499</v>
      </c>
      <c r="J169" s="53">
        <v>0.14661813986744154</v>
      </c>
      <c r="K169" s="53">
        <v>0.51157291515675318</v>
      </c>
      <c r="L169" s="49">
        <v>5920853</v>
      </c>
      <c r="R169" s="21"/>
      <c r="S169" s="21"/>
    </row>
    <row r="170" spans="1:19" s="48" customFormat="1" x14ac:dyDescent="0.2">
      <c r="A170" s="49">
        <v>9</v>
      </c>
      <c r="B170" s="53"/>
      <c r="C170" s="53">
        <v>0</v>
      </c>
      <c r="D170" s="53">
        <v>0</v>
      </c>
      <c r="E170" s="53">
        <v>0</v>
      </c>
      <c r="F170" s="49"/>
      <c r="G170" s="49">
        <v>9</v>
      </c>
      <c r="H170" s="53"/>
      <c r="I170" s="53">
        <v>0</v>
      </c>
      <c r="J170" s="53">
        <v>0</v>
      </c>
      <c r="K170" s="53">
        <v>0</v>
      </c>
      <c r="L170" s="49"/>
      <c r="R170" s="21"/>
      <c r="S170" s="21"/>
    </row>
    <row r="171" spans="1:19" s="48" customFormat="1" x14ac:dyDescent="0.2">
      <c r="A171" s="49">
        <v>10</v>
      </c>
      <c r="B171" s="53"/>
      <c r="C171" s="53">
        <v>0</v>
      </c>
      <c r="D171" s="53">
        <v>0</v>
      </c>
      <c r="E171" s="53">
        <v>0</v>
      </c>
      <c r="F171" s="49"/>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5A9CE5BC-CA95-4E55-AD73-6DE683CA3E7F}">
      <formula1>$C$112:$C$113</formula1>
    </dataValidation>
  </dataValidations>
  <hyperlinks>
    <hyperlink ref="O1:P1" location="Home_page" display="Back to home page" xr:uid="{3B7EF00E-BD2D-42EE-9DC1-0C688F7975B4}"/>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CCCD174E-B083-4A14-AEEE-99000CE9C7C4}">
          <x14:colorSeries rgb="FF323232"/>
          <x14:colorNegative rgb="FFD00000"/>
          <x14:colorAxis rgb="FF000000"/>
          <x14:colorMarkers rgb="FFD00000"/>
          <x14:colorFirst rgb="FFD00000"/>
          <x14:colorLast rgb="FFD00000"/>
          <x14:colorHigh rgb="FFD00000"/>
          <x14:colorLow rgb="FFD00000"/>
          <x14:sparklines>
            <x14:sparkline>
              <xm:f>'South West beamers o250kW'!D3:N3</xm:f>
              <xm:sqref>C3</xm:sqref>
            </x14:sparkline>
            <x14:sparkline>
              <xm:f>'South West beamers o250kW'!D4:N4</xm:f>
              <xm:sqref>C4</xm:sqref>
            </x14:sparkline>
            <x14:sparkline>
              <xm:f>'South West beamers o250kW'!D5:N5</xm:f>
              <xm:sqref>C5</xm:sqref>
            </x14:sparkline>
            <x14:sparkline>
              <xm:f>'South West beamers o250kW'!D6:N6</xm:f>
              <xm:sqref>C6</xm:sqref>
            </x14:sparkline>
            <x14:sparkline>
              <xm:f>'South West beamers o250kW'!D7:N7</xm:f>
              <xm:sqref>C7</xm:sqref>
            </x14:sparkline>
            <x14:sparkline>
              <xm:f>'South West beamers o250kW'!D8:N8</xm:f>
              <xm:sqref>C8</xm:sqref>
            </x14:sparkline>
            <x14:sparkline>
              <xm:f>'South West beamers o250kW'!D9:N9</xm:f>
              <xm:sqref>C9</xm:sqref>
            </x14:sparkline>
            <x14:sparkline>
              <xm:f>'South West beamers o250kW'!D10:N10</xm:f>
              <xm:sqref>C10</xm:sqref>
            </x14:sparkline>
            <x14:sparkline>
              <xm:f>'South West beamers o250kW'!D11:N11</xm:f>
              <xm:sqref>C11</xm:sqref>
            </x14:sparkline>
            <x14:sparkline>
              <xm:f>'South West beamers o250kW'!D12:N12</xm:f>
              <xm:sqref>C12</xm:sqref>
            </x14:sparkline>
            <x14:sparkline>
              <xm:f>'South West beamers o250kW'!D13:N13</xm:f>
              <xm:sqref>C13</xm:sqref>
            </x14:sparkline>
            <x14:sparkline>
              <xm:f>'South West beamers o250kW'!D14:N14</xm:f>
              <xm:sqref>C14</xm:sqref>
            </x14:sparkline>
            <x14:sparkline>
              <xm:f>'South West beamers o250kW'!D15:N15</xm:f>
              <xm:sqref>C15</xm:sqref>
            </x14:sparkline>
            <x14:sparkline>
              <xm:f>'South West beamers o250kW'!D16:N16</xm:f>
              <xm:sqref>C16</xm:sqref>
            </x14:sparkline>
            <x14:sparkline>
              <xm:f>'South West beamers o250kW'!D17:N17</xm:f>
              <xm:sqref>C17</xm:sqref>
            </x14:sparkline>
            <x14:sparkline>
              <xm:f>'South West beamers o250kW'!D18:N18</xm:f>
              <xm:sqref>C18</xm:sqref>
            </x14:sparkline>
            <x14:sparkline>
              <xm:f>'South West beamers o250kW'!D19:N19</xm:f>
              <xm:sqref>C19</xm:sqref>
            </x14:sparkline>
            <x14:sparkline>
              <xm:f>'South West beamers o250kW'!D20:N20</xm:f>
              <xm:sqref>C20</xm:sqref>
            </x14:sparkline>
            <x14:sparkline>
              <xm:f>'South West beamers o250kW'!D21:N21</xm:f>
              <xm:sqref>C21</xm:sqref>
            </x14:sparkline>
            <x14:sparkline>
              <xm:f>'South West beamers o250kW'!D22:N22</xm:f>
              <xm:sqref>C22</xm:sqref>
            </x14:sparkline>
            <x14:sparkline>
              <xm:f>'South West beamers o250kW'!D23:N23</xm:f>
              <xm:sqref>C23</xm:sqref>
            </x14:sparkline>
            <x14:sparkline>
              <xm:f>'South West beamers o250kW'!D24:N24</xm:f>
              <xm:sqref>C24</xm:sqref>
            </x14:sparkline>
            <x14:sparkline>
              <xm:f>'South West beamers o250kW'!D25:N25</xm:f>
              <xm:sqref>C25</xm:sqref>
            </x14:sparkline>
            <x14:sparkline>
              <xm:f>'South West beamers o250kW'!D26:N26</xm:f>
              <xm:sqref>C26</xm:sqref>
            </x14:sparkline>
            <x14:sparkline>
              <xm:f>'South West beamers o250kW'!D27:N27</xm:f>
              <xm:sqref>C27</xm:sqref>
            </x14:sparkline>
            <x14:sparkline>
              <xm:f>'South West beamers o250kW'!D28:N28</xm:f>
              <xm:sqref>C28</xm:sqref>
            </x14:sparkline>
            <x14:sparkline>
              <xm:f>'South West beamers o250kW'!D29:N29</xm:f>
              <xm:sqref>C29</xm:sqref>
            </x14:sparkline>
            <x14:sparkline>
              <xm:f>'South West beamers o250kW'!D30:N30</xm:f>
              <xm:sqref>C30</xm:sqref>
            </x14:sparkline>
            <x14:sparkline>
              <xm:f>'South West beamers o250kW'!D31:N31</xm:f>
              <xm:sqref>C31</xm:sqref>
            </x14:sparkline>
            <x14:sparkline>
              <xm:f>'South West beamers o250kW'!D32:N32</xm:f>
              <xm:sqref>C32</xm:sqref>
            </x14:sparkline>
            <x14:sparkline>
              <xm:f>'South West beamers o250kW'!D33:N33</xm:f>
              <xm:sqref>C33</xm:sqref>
            </x14:sparkline>
            <x14:sparkline>
              <xm:f>'South West beamers o250kW'!D34:N34</xm:f>
              <xm:sqref>C34</xm:sqref>
            </x14:sparkline>
            <x14:sparkline>
              <xm:f>'South West beamers o250kW'!D35:N35</xm:f>
              <xm:sqref>C35</xm:sqref>
            </x14:sparkline>
            <x14:sparkline>
              <xm:f>'South West beamers o250kW'!D36:N36</xm:f>
              <xm:sqref>C36</xm:sqref>
            </x14:sparkline>
            <x14:sparkline>
              <xm:f>'South West beamers o250kW'!D37:N37</xm:f>
              <xm:sqref>C37</xm:sqref>
            </x14:sparkline>
            <x14:sparkline>
              <xm:f>'South West beamers o250kW'!D38:N38</xm:f>
              <xm:sqref>C38</xm:sqref>
            </x14:sparkline>
            <x14:sparkline>
              <xm:f>'South West beamers o250kW'!D39:N39</xm:f>
              <xm:sqref>C39</xm:sqref>
            </x14:sparkline>
            <x14:sparkline>
              <xm:f>'South West beamers o250kW'!D40:N40</xm:f>
              <xm:sqref>C40</xm:sqref>
            </x14:sparkline>
            <x14:sparkline>
              <xm:f>'South West beamers o250kW'!D41:N41</xm:f>
              <xm:sqref>C41</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102B9-0C74-4567-89E8-9FD37CA9E53B}">
  <sheetPr codeName="Feuil30">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417</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23</v>
      </c>
      <c r="E3" s="28">
        <v>27</v>
      </c>
      <c r="F3" s="28">
        <v>25</v>
      </c>
      <c r="G3" s="28">
        <v>23</v>
      </c>
      <c r="H3" s="28">
        <v>24</v>
      </c>
      <c r="I3" s="28">
        <v>23</v>
      </c>
      <c r="J3" s="28">
        <v>22</v>
      </c>
      <c r="K3" s="28">
        <v>25</v>
      </c>
      <c r="L3" s="28">
        <v>22</v>
      </c>
      <c r="M3" s="28">
        <v>25</v>
      </c>
      <c r="N3" s="28">
        <v>20</v>
      </c>
      <c r="O3" s="29">
        <f t="shared" ref="O3:O41" si="0">IF(N3=0,"",IFERROR(IF(AND(N3&gt;0,D3&lt;0),"na",IF(AND(N3&lt;0,D3&lt;0),-1,1)*(N3-D3)/D3),""))</f>
        <v>-0.13043478260869565</v>
      </c>
      <c r="P3" s="29">
        <f t="shared" ref="P3:P41" si="1">IF(N3=0,"",IFERROR(IF(AND(N3&gt;0,J3&lt;0),"na",IF(AND(N3&lt;0,J3&lt;0),-1,1)*(N3-J3)/J3),""))</f>
        <v>-9.0909090909090912E-2</v>
      </c>
    </row>
    <row r="4" spans="1:17" ht="18" customHeight="1" x14ac:dyDescent="0.2">
      <c r="A4" s="193"/>
      <c r="B4" s="30" t="s">
        <v>55</v>
      </c>
      <c r="C4" s="31"/>
      <c r="D4" s="31">
        <v>5012</v>
      </c>
      <c r="E4" s="31">
        <v>5876</v>
      </c>
      <c r="F4" s="31">
        <v>5452</v>
      </c>
      <c r="G4" s="31">
        <v>5031</v>
      </c>
      <c r="H4" s="31">
        <v>5253</v>
      </c>
      <c r="I4" s="31">
        <v>5032</v>
      </c>
      <c r="J4" s="31">
        <v>4811</v>
      </c>
      <c r="K4" s="31">
        <v>5454</v>
      </c>
      <c r="L4" s="31">
        <v>4805</v>
      </c>
      <c r="M4" s="31">
        <v>5448</v>
      </c>
      <c r="N4" s="31">
        <v>4359</v>
      </c>
      <c r="O4" s="29">
        <f t="shared" si="0"/>
        <v>-0.13028731045490821</v>
      </c>
      <c r="P4" s="29">
        <f t="shared" si="1"/>
        <v>-9.3951361463313246E-2</v>
      </c>
    </row>
    <row r="5" spans="1:17" ht="18" customHeight="1" x14ac:dyDescent="0.2">
      <c r="A5" s="193"/>
      <c r="B5" s="30" t="s">
        <v>56</v>
      </c>
      <c r="C5" s="31"/>
      <c r="D5" s="31">
        <v>2472</v>
      </c>
      <c r="E5" s="31">
        <v>2663</v>
      </c>
      <c r="F5" s="31">
        <v>2596</v>
      </c>
      <c r="G5" s="31">
        <v>2597</v>
      </c>
      <c r="H5" s="31">
        <v>2539</v>
      </c>
      <c r="I5" s="31">
        <v>2389</v>
      </c>
      <c r="J5" s="31">
        <v>2359</v>
      </c>
      <c r="K5" s="31">
        <v>2474</v>
      </c>
      <c r="L5" s="31">
        <v>2318</v>
      </c>
      <c r="M5" s="31">
        <v>2353</v>
      </c>
      <c r="N5" s="31">
        <v>2076</v>
      </c>
      <c r="O5" s="29">
        <f t="shared" si="0"/>
        <v>-0.16019417475728157</v>
      </c>
      <c r="P5" s="29">
        <f t="shared" si="1"/>
        <v>-0.11996608732513778</v>
      </c>
      <c r="Q5" s="32"/>
    </row>
    <row r="6" spans="1:17" ht="18" customHeight="1" x14ac:dyDescent="0.2">
      <c r="A6" s="193"/>
      <c r="B6" s="30" t="s">
        <v>57</v>
      </c>
      <c r="C6" s="31"/>
      <c r="D6" s="31">
        <v>5436.82470703125</v>
      </c>
      <c r="E6" s="31">
        <v>6127.19482421875</v>
      </c>
      <c r="F6" s="31">
        <v>5793.390625</v>
      </c>
      <c r="G6" s="31">
        <v>5474.92822265625</v>
      </c>
      <c r="H6" s="31">
        <v>5629.2255859375</v>
      </c>
      <c r="I6" s="31">
        <v>5366.779296875</v>
      </c>
      <c r="J6" s="31">
        <v>5195.689453125</v>
      </c>
      <c r="K6" s="31">
        <v>5717.27099609375</v>
      </c>
      <c r="L6" s="31">
        <v>5133.99462890625</v>
      </c>
      <c r="M6" s="31">
        <v>5561.47265625</v>
      </c>
      <c r="N6" s="31">
        <v>4624.28076171875</v>
      </c>
      <c r="O6" s="29">
        <f t="shared" si="0"/>
        <v>-0.14945192995861464</v>
      </c>
      <c r="P6" s="29">
        <f t="shared" si="1"/>
        <v>-0.10997745276376564</v>
      </c>
    </row>
    <row r="7" spans="1:17" ht="18" customHeight="1" x14ac:dyDescent="0.2">
      <c r="A7" s="193"/>
      <c r="B7" s="30" t="s">
        <v>58</v>
      </c>
      <c r="C7" s="31"/>
      <c r="D7" s="31">
        <v>4105.9521484375</v>
      </c>
      <c r="E7" s="31">
        <v>6154.83984375</v>
      </c>
      <c r="F7" s="31">
        <v>5894.142578125</v>
      </c>
      <c r="G7" s="31">
        <v>5080.89013671875</v>
      </c>
      <c r="H7" s="31">
        <v>5238.453125</v>
      </c>
      <c r="I7" s="31">
        <v>4810.5810546875</v>
      </c>
      <c r="J7" s="31">
        <v>4558.4326171875</v>
      </c>
      <c r="K7" s="31">
        <v>4549.88330078125</v>
      </c>
      <c r="L7" s="31">
        <v>4590.57666015625</v>
      </c>
      <c r="M7" s="31">
        <v>4227.32666015625</v>
      </c>
      <c r="N7" s="31">
        <v>3596.468505859375</v>
      </c>
      <c r="O7" s="29">
        <f t="shared" si="0"/>
        <v>-0.12408416468565191</v>
      </c>
      <c r="P7" s="29">
        <f t="shared" si="1"/>
        <v>-0.21102957795209129</v>
      </c>
    </row>
    <row r="8" spans="1:17" ht="18" customHeight="1" x14ac:dyDescent="0.2">
      <c r="A8" s="193"/>
      <c r="B8" s="30" t="s">
        <v>59</v>
      </c>
      <c r="C8" s="33"/>
      <c r="D8" s="33">
        <f ca="1">15.486959*OFFSET(D$112,MATCH($N$1,$C$112:$C$113,0)-1,0)</f>
        <v>15.486959000000001</v>
      </c>
      <c r="E8" s="33">
        <f ca="1">18.723804*OFFSET(E$112,MATCH($N$1,$C$112:$C$113,0)-1,0)</f>
        <v>18.723804000000001</v>
      </c>
      <c r="F8" s="33">
        <f ca="1">17.193126*OFFSET(F$112,MATCH($N$1,$C$112:$C$113,0)-1,0)</f>
        <v>17.193125999999999</v>
      </c>
      <c r="G8" s="33">
        <f ca="1">15.341608*OFFSET(G$112,MATCH($N$1,$C$112:$C$113,0)-1,0)</f>
        <v>15.341608000000001</v>
      </c>
      <c r="H8" s="33">
        <f ca="1">14.640914*OFFSET(H$112,MATCH($N$1,$C$112:$C$113,0)-1,0)</f>
        <v>14.640914</v>
      </c>
      <c r="I8" s="33">
        <f ca="1">16.721035*OFFSET(I$112,MATCH($N$1,$C$112:$C$113,0)-1,0)</f>
        <v>16.721035000000001</v>
      </c>
      <c r="J8" s="33">
        <f ca="1">17.929498*OFFSET(J$112,MATCH($N$1,$C$112:$C$113,0)-1,0)</f>
        <v>17.929497999999999</v>
      </c>
      <c r="K8" s="33">
        <f ca="1">17.687966*OFFSET(K$112,MATCH($N$1,$C$112:$C$113,0)-1,0)</f>
        <v>17.687965999999999</v>
      </c>
      <c r="L8" s="33">
        <f ca="1">16.259248*OFFSET(L$112,MATCH($N$1,$C$112:$C$113,0)-1,0)</f>
        <v>16.259247999999999</v>
      </c>
      <c r="M8" s="33">
        <f ca="1">13.826364*OFFSET(M$112,MATCH($N$1,$C$112:$C$113,0)-1,0)</f>
        <v>13.826364</v>
      </c>
      <c r="N8" s="33">
        <v>13.374772</v>
      </c>
      <c r="O8" s="29">
        <f t="shared" ca="1" si="0"/>
        <v>-0.13638487710854019</v>
      </c>
      <c r="P8" s="29">
        <f t="shared" ca="1" si="1"/>
        <v>-0.25403533328150063</v>
      </c>
    </row>
    <row r="9" spans="1:17" ht="18" customHeight="1" x14ac:dyDescent="0.2">
      <c r="A9" s="193"/>
      <c r="B9" s="30" t="s">
        <v>60</v>
      </c>
      <c r="C9" s="31"/>
      <c r="D9" s="31">
        <v>4942</v>
      </c>
      <c r="E9" s="31">
        <v>6583</v>
      </c>
      <c r="F9" s="31">
        <v>6207</v>
      </c>
      <c r="G9" s="31">
        <v>5506</v>
      </c>
      <c r="H9" s="31">
        <v>5318</v>
      </c>
      <c r="I9" s="31">
        <v>5368</v>
      </c>
      <c r="J9" s="31">
        <v>5005</v>
      </c>
      <c r="K9" s="31">
        <v>5492</v>
      </c>
      <c r="L9" s="31">
        <v>4937</v>
      </c>
      <c r="M9" s="31">
        <v>4970</v>
      </c>
      <c r="N9" s="31">
        <v>4313</v>
      </c>
      <c r="O9" s="29">
        <f t="shared" si="0"/>
        <v>-0.1272764063132335</v>
      </c>
      <c r="P9" s="29">
        <f t="shared" si="1"/>
        <v>-0.13826173826173827</v>
      </c>
    </row>
    <row r="10" spans="1:17" ht="18" customHeight="1" x14ac:dyDescent="0.2">
      <c r="A10" s="193"/>
      <c r="B10" s="30" t="s">
        <v>61</v>
      </c>
      <c r="C10" s="31"/>
      <c r="D10" s="31">
        <v>156.74272155761719</v>
      </c>
      <c r="E10" s="31">
        <v>232.12992858886719</v>
      </c>
      <c r="F10" s="31">
        <v>222.97254943847656</v>
      </c>
      <c r="G10" s="31">
        <v>162.13655090332031</v>
      </c>
      <c r="H10" s="31">
        <v>153.04966735839844</v>
      </c>
      <c r="I10" s="31">
        <v>112.0059814453125</v>
      </c>
      <c r="J10" s="31">
        <v>169.97685241699219</v>
      </c>
      <c r="K10" s="31">
        <v>174.04147338867188</v>
      </c>
      <c r="L10" s="31">
        <v>192.00852966308594</v>
      </c>
      <c r="M10" s="31">
        <v>143.38499450683594</v>
      </c>
      <c r="N10" s="31">
        <v>127.71993255615234</v>
      </c>
      <c r="O10" s="34">
        <f t="shared" si="0"/>
        <v>-0.18516195656840329</v>
      </c>
      <c r="P10" s="34">
        <f t="shared" si="1"/>
        <v>-0.24860396730475942</v>
      </c>
    </row>
    <row r="11" spans="1:17" ht="18" customHeight="1" x14ac:dyDescent="0.2">
      <c r="A11" s="194" t="s">
        <v>27</v>
      </c>
      <c r="B11" s="35" t="s">
        <v>62</v>
      </c>
      <c r="C11" s="36"/>
      <c r="D11" s="36">
        <v>21.653913497924805</v>
      </c>
      <c r="E11" s="36">
        <v>20.478147506713867</v>
      </c>
      <c r="F11" s="36">
        <v>21.013198852539063</v>
      </c>
      <c r="G11" s="36">
        <v>21.566085815429688</v>
      </c>
      <c r="H11" s="36">
        <v>21.382499694824219</v>
      </c>
      <c r="I11" s="36">
        <v>21.270000457763672</v>
      </c>
      <c r="J11" s="36">
        <v>21.602727890014648</v>
      </c>
      <c r="K11" s="36">
        <v>20.686800003051758</v>
      </c>
      <c r="L11" s="36">
        <v>21.149545669555664</v>
      </c>
      <c r="M11" s="36">
        <v>19.657600402832031</v>
      </c>
      <c r="N11" s="36">
        <v>20.79949951171875</v>
      </c>
      <c r="O11" s="29">
        <f t="shared" si="0"/>
        <v>-3.9457716790451625E-2</v>
      </c>
      <c r="P11" s="29">
        <f t="shared" si="1"/>
        <v>-3.7181803260465628E-2</v>
      </c>
    </row>
    <row r="12" spans="1:17" ht="18" customHeight="1" x14ac:dyDescent="0.2">
      <c r="A12" s="195"/>
      <c r="B12" s="37" t="s">
        <v>55</v>
      </c>
      <c r="C12" s="31"/>
      <c r="D12" s="31">
        <v>217.91304016113281</v>
      </c>
      <c r="E12" s="31">
        <v>217.62962341308594</v>
      </c>
      <c r="F12" s="31">
        <v>218.08000183105469</v>
      </c>
      <c r="G12" s="31">
        <v>218.7391357421875</v>
      </c>
      <c r="H12" s="31">
        <v>218.875</v>
      </c>
      <c r="I12" s="31">
        <v>218.78260803222656</v>
      </c>
      <c r="J12" s="31">
        <v>218.68182373046875</v>
      </c>
      <c r="K12" s="31">
        <v>218.16000366210938</v>
      </c>
      <c r="L12" s="31">
        <v>218.40908813476563</v>
      </c>
      <c r="M12" s="31">
        <v>217.91999816894531</v>
      </c>
      <c r="N12" s="31">
        <v>217.94999694824219</v>
      </c>
      <c r="O12" s="29">
        <f t="shared" si="0"/>
        <v>1.6959419721760484E-4</v>
      </c>
      <c r="P12" s="29">
        <f t="shared" si="1"/>
        <v>-3.3465368531431254E-3</v>
      </c>
    </row>
    <row r="13" spans="1:17" ht="18" customHeight="1" x14ac:dyDescent="0.2">
      <c r="A13" s="195"/>
      <c r="B13" s="37" t="s">
        <v>56</v>
      </c>
      <c r="C13" s="31"/>
      <c r="D13" s="31">
        <v>107.47826385498047</v>
      </c>
      <c r="E13" s="31">
        <v>98.629631042480469</v>
      </c>
      <c r="F13" s="31">
        <v>103.83999633789063</v>
      </c>
      <c r="G13" s="31">
        <v>112.91304016113281</v>
      </c>
      <c r="H13" s="31">
        <v>105.79166412353516</v>
      </c>
      <c r="I13" s="31">
        <v>103.86956787109375</v>
      </c>
      <c r="J13" s="31">
        <v>107.22727203369141</v>
      </c>
      <c r="K13" s="31">
        <v>98.959999084472656</v>
      </c>
      <c r="L13" s="31">
        <v>105.36363983154297</v>
      </c>
      <c r="M13" s="31">
        <v>94.120002746582031</v>
      </c>
      <c r="N13" s="31">
        <v>103.80000305175781</v>
      </c>
      <c r="O13" s="29">
        <f t="shared" si="0"/>
        <v>-3.4223299402990945E-2</v>
      </c>
      <c r="P13" s="29">
        <f t="shared" si="1"/>
        <v>-3.1962661335417794E-2</v>
      </c>
    </row>
    <row r="14" spans="1:17" ht="18" customHeight="1" x14ac:dyDescent="0.2">
      <c r="A14" s="195"/>
      <c r="B14" s="37" t="s">
        <v>57</v>
      </c>
      <c r="C14" s="31"/>
      <c r="D14" s="31">
        <v>236.38368225097656</v>
      </c>
      <c r="E14" s="31">
        <v>226.93313598632813</v>
      </c>
      <c r="F14" s="31">
        <v>231.73562622070313</v>
      </c>
      <c r="G14" s="31">
        <v>238.04034423828125</v>
      </c>
      <c r="H14" s="31">
        <v>234.55105590820313</v>
      </c>
      <c r="I14" s="31">
        <v>233.33824157714844</v>
      </c>
      <c r="J14" s="31">
        <v>236.16769409179688</v>
      </c>
      <c r="K14" s="31">
        <v>228.69084167480469</v>
      </c>
      <c r="L14" s="31">
        <v>233.36338806152344</v>
      </c>
      <c r="M14" s="31">
        <v>222.45892333984375</v>
      </c>
      <c r="N14" s="31">
        <v>231.21403503417969</v>
      </c>
      <c r="O14" s="29">
        <f t="shared" si="0"/>
        <v>-2.1869729617411092E-2</v>
      </c>
      <c r="P14" s="29">
        <f t="shared" si="1"/>
        <v>-2.097517645953613E-2</v>
      </c>
    </row>
    <row r="15" spans="1:17" ht="18" customHeight="1" x14ac:dyDescent="0.2">
      <c r="A15" s="195"/>
      <c r="B15" s="37" t="s">
        <v>58</v>
      </c>
      <c r="C15" s="33"/>
      <c r="D15" s="33">
        <v>178.51966857910156</v>
      </c>
      <c r="E15" s="33">
        <v>227.95703125</v>
      </c>
      <c r="F15" s="33">
        <v>235.76571655273438</v>
      </c>
      <c r="G15" s="33">
        <v>220.90826416015625</v>
      </c>
      <c r="H15" s="33">
        <v>218.26887512207031</v>
      </c>
      <c r="I15" s="33">
        <v>209.15570068359375</v>
      </c>
      <c r="J15" s="33">
        <v>207.20149230957031</v>
      </c>
      <c r="K15" s="33">
        <v>181.99533081054688</v>
      </c>
      <c r="L15" s="33">
        <v>208.66256713867188</v>
      </c>
      <c r="M15" s="33">
        <v>169.09306335449219</v>
      </c>
      <c r="N15" s="33">
        <v>179.82342529296875</v>
      </c>
      <c r="O15" s="29">
        <f t="shared" si="0"/>
        <v>7.3031544604817396E-3</v>
      </c>
      <c r="P15" s="29">
        <f t="shared" si="1"/>
        <v>-0.13213257641840359</v>
      </c>
    </row>
    <row r="16" spans="1:17" ht="18" customHeight="1" x14ac:dyDescent="0.2">
      <c r="A16" s="195"/>
      <c r="B16" s="37" t="s">
        <v>63</v>
      </c>
      <c r="C16" s="33"/>
      <c r="D16" s="33">
        <f ca="1">673.3460625*OFFSET(D$112,MATCH($N$1,$C$112:$C$113,0)-1,0)</f>
        <v>673.34606250000002</v>
      </c>
      <c r="E16" s="33">
        <f ca="1">693.4741875*OFFSET(E$112,MATCH($N$1,$C$112:$C$113,0)-1,0)</f>
        <v>693.47418749999997</v>
      </c>
      <c r="F16" s="33">
        <f ca="1">687.725*OFFSET(F$112,MATCH($N$1,$C$112:$C$113,0)-1,0)</f>
        <v>687.72500000000002</v>
      </c>
      <c r="G16" s="33">
        <f ca="1">667.0264375*OFFSET(G$112,MATCH($N$1,$C$112:$C$113,0)-1,0)</f>
        <v>667.02643750000004</v>
      </c>
      <c r="H16" s="33">
        <f ca="1">610.038125*OFFSET(H$112,MATCH($N$1,$C$112:$C$113,0)-1,0)</f>
        <v>610.03812500000004</v>
      </c>
      <c r="I16" s="33">
        <f ca="1">727.0015*OFFSET(I$112,MATCH($N$1,$C$112:$C$113,0)-1,0)</f>
        <v>727.00149999999996</v>
      </c>
      <c r="J16" s="33">
        <f ca="1">814.9771875*OFFSET(J$112,MATCH($N$1,$C$112:$C$113,0)-1,0)</f>
        <v>814.97718750000001</v>
      </c>
      <c r="K16" s="33">
        <f ca="1">707.5186875*OFFSET(K$112,MATCH($N$1,$C$112:$C$113,0)-1,0)</f>
        <v>707.51868750000006</v>
      </c>
      <c r="L16" s="33">
        <f ca="1">739.05675*OFFSET(L$112,MATCH($N$1,$C$112:$C$113,0)-1,0)</f>
        <v>739.05674999999997</v>
      </c>
      <c r="M16" s="33">
        <f ca="1">553.0545625*OFFSET(M$112,MATCH($N$1,$C$112:$C$113,0)-1,0)</f>
        <v>553.05456249999997</v>
      </c>
      <c r="N16" s="33">
        <v>668.73862500000007</v>
      </c>
      <c r="O16" s="29">
        <f t="shared" ca="1" si="0"/>
        <v>-6.8425996030829191E-3</v>
      </c>
      <c r="P16" s="29">
        <f t="shared" ca="1" si="1"/>
        <v>-0.17943884165469348</v>
      </c>
    </row>
    <row r="17" spans="1:16" ht="18" customHeight="1" x14ac:dyDescent="0.2">
      <c r="A17" s="195"/>
      <c r="B17" s="37" t="s">
        <v>60</v>
      </c>
      <c r="C17" s="31"/>
      <c r="D17" s="31">
        <v>214.86956787109375</v>
      </c>
      <c r="E17" s="31">
        <v>243.8148193359375</v>
      </c>
      <c r="F17" s="31">
        <v>248.27999877929688</v>
      </c>
      <c r="G17" s="31">
        <v>239.39131164550781</v>
      </c>
      <c r="H17" s="31">
        <v>221.58332824707031</v>
      </c>
      <c r="I17" s="31">
        <v>233.39131164550781</v>
      </c>
      <c r="J17" s="31">
        <v>227.5</v>
      </c>
      <c r="K17" s="31">
        <v>219.67999267578125</v>
      </c>
      <c r="L17" s="31">
        <v>224.40908813476563</v>
      </c>
      <c r="M17" s="31">
        <v>198.80000305175781</v>
      </c>
      <c r="N17" s="31">
        <v>215.64999389648438</v>
      </c>
      <c r="O17" s="29">
        <f t="shared" si="0"/>
        <v>3.6320919389516543E-3</v>
      </c>
      <c r="P17" s="29">
        <f t="shared" si="1"/>
        <v>-5.2087938916552196E-2</v>
      </c>
    </row>
    <row r="18" spans="1:16" ht="18" customHeight="1" x14ac:dyDescent="0.2">
      <c r="A18" s="195"/>
      <c r="B18" s="37" t="s">
        <v>64</v>
      </c>
      <c r="C18" s="31"/>
      <c r="D18" s="31">
        <v>23.565217971801758</v>
      </c>
      <c r="E18" s="31">
        <v>22.814815521240234</v>
      </c>
      <c r="F18" s="31">
        <v>24.159999847412109</v>
      </c>
      <c r="G18" s="31">
        <v>23.65217399597168</v>
      </c>
      <c r="H18" s="31">
        <v>25.291666030883789</v>
      </c>
      <c r="I18" s="31">
        <v>26.65217399597168</v>
      </c>
      <c r="J18" s="31">
        <v>28.272727966308594</v>
      </c>
      <c r="K18" s="31">
        <v>26.440000534057617</v>
      </c>
      <c r="L18" s="31">
        <v>26.590909957885742</v>
      </c>
      <c r="M18" s="31">
        <v>25.600000381469727</v>
      </c>
      <c r="N18" s="31">
        <v>28.100000381469727</v>
      </c>
      <c r="O18" s="29">
        <f t="shared" si="0"/>
        <v>0.19243541116803201</v>
      </c>
      <c r="P18" s="29">
        <f t="shared" si="1"/>
        <v>-6.109335648286196E-3</v>
      </c>
    </row>
    <row r="19" spans="1:16" ht="18" customHeight="1" x14ac:dyDescent="0.2">
      <c r="A19" s="195"/>
      <c r="B19" s="37" t="s">
        <v>65</v>
      </c>
      <c r="C19" s="38"/>
      <c r="D19" s="38">
        <v>0.83082807064056396</v>
      </c>
      <c r="E19" s="38">
        <v>0.93495970964431763</v>
      </c>
      <c r="F19" s="38">
        <v>0.949596107006073</v>
      </c>
      <c r="G19" s="38">
        <v>0.92279148101806641</v>
      </c>
      <c r="H19" s="38">
        <v>0.98504197597503662</v>
      </c>
      <c r="I19" s="38">
        <v>0.89615887403488159</v>
      </c>
      <c r="J19" s="38">
        <v>0.91077578067779541</v>
      </c>
      <c r="K19" s="38">
        <v>0.8284565806388855</v>
      </c>
      <c r="L19" s="38">
        <v>0.92983120679855347</v>
      </c>
      <c r="M19" s="38">
        <v>0.85056871175765991</v>
      </c>
      <c r="N19" s="38">
        <v>0.83386707305908203</v>
      </c>
      <c r="O19" s="29">
        <f t="shared" si="0"/>
        <v>3.6577994002718419E-3</v>
      </c>
      <c r="P19" s="29">
        <f t="shared" si="1"/>
        <v>-8.4443075068902529E-2</v>
      </c>
    </row>
    <row r="20" spans="1:16" ht="18" customHeight="1" x14ac:dyDescent="0.2">
      <c r="A20" s="196"/>
      <c r="B20" s="39" t="s">
        <v>28</v>
      </c>
      <c r="C20" s="40"/>
      <c r="D20" s="40">
        <f ca="1">3772*OFFSET(D$112,MATCH($N$1,$C$112:$C$113,0)-1,0)</f>
        <v>3772</v>
      </c>
      <c r="E20" s="40">
        <f ca="1">3042*OFFSET(E$112,MATCH($N$1,$C$112:$C$113,0)-1,0)</f>
        <v>3042</v>
      </c>
      <c r="F20" s="40">
        <f ca="1">2917*OFFSET(F$112,MATCH($N$1,$C$112:$C$113,0)-1,0)</f>
        <v>2917</v>
      </c>
      <c r="G20" s="40">
        <f ca="1">3019*OFFSET(G$112,MATCH($N$1,$C$112:$C$113,0)-1,0)</f>
        <v>3019</v>
      </c>
      <c r="H20" s="40">
        <f ca="1">2795*OFFSET(H$112,MATCH($N$1,$C$112:$C$113,0)-1,0)</f>
        <v>2795</v>
      </c>
      <c r="I20" s="40">
        <f ca="1">3476*OFFSET(I$112,MATCH($N$1,$C$112:$C$113,0)-1,0)</f>
        <v>3476</v>
      </c>
      <c r="J20" s="40">
        <f ca="1">3933*OFFSET(J$112,MATCH($N$1,$C$112:$C$113,0)-1,0)</f>
        <v>3933</v>
      </c>
      <c r="K20" s="40">
        <f ca="1">3888*OFFSET(K$112,MATCH($N$1,$C$112:$C$113,0)-1,0)</f>
        <v>3888</v>
      </c>
      <c r="L20" s="40">
        <f ca="1">3542*OFFSET(L$112,MATCH($N$1,$C$112:$C$113,0)-1,0)</f>
        <v>3542</v>
      </c>
      <c r="M20" s="40">
        <f ca="1">3271*OFFSET(M$112,MATCH($N$1,$C$112:$C$113,0)-1,0)</f>
        <v>3271</v>
      </c>
      <c r="N20" s="40">
        <v>3719</v>
      </c>
      <c r="O20" s="34">
        <f t="shared" ca="1" si="0"/>
        <v>-1.4050901378579003E-2</v>
      </c>
      <c r="P20" s="34">
        <f t="shared" ca="1" si="1"/>
        <v>-5.4411390795830156E-2</v>
      </c>
    </row>
    <row r="21" spans="1:16" ht="18" customHeight="1" x14ac:dyDescent="0.2">
      <c r="A21" s="197" t="s">
        <v>29</v>
      </c>
      <c r="B21" s="35" t="s">
        <v>66</v>
      </c>
      <c r="C21" s="41"/>
      <c r="D21" s="41">
        <v>3.8085538478773047</v>
      </c>
      <c r="E21" s="41">
        <v>4.2919013629767271</v>
      </c>
      <c r="F21" s="41">
        <v>4.3468476751187071</v>
      </c>
      <c r="G21" s="41">
        <v>4.2099381255955901</v>
      </c>
      <c r="H21" s="41">
        <v>4.4918609369670488</v>
      </c>
      <c r="I21" s="41">
        <v>4.0842536957200126</v>
      </c>
      <c r="J21" s="41">
        <v>4.1454052787084903</v>
      </c>
      <c r="K21" s="41">
        <v>3.7922992737046153</v>
      </c>
      <c r="L21" s="41">
        <v>4.2545362521853063</v>
      </c>
      <c r="M21" s="41">
        <v>3.8762114749103653</v>
      </c>
      <c r="N21" s="41">
        <v>3.8162502326360261</v>
      </c>
      <c r="O21" s="29">
        <f t="shared" si="0"/>
        <v>2.0208155289733005E-3</v>
      </c>
      <c r="P21" s="29">
        <f t="shared" si="1"/>
        <v>-7.9402380211908513E-2</v>
      </c>
    </row>
    <row r="22" spans="1:16" ht="18" customHeight="1" x14ac:dyDescent="0.2">
      <c r="A22" s="197"/>
      <c r="B22" s="37" t="s">
        <v>67</v>
      </c>
      <c r="C22" s="38"/>
      <c r="D22" s="38">
        <f ca="1">14.3652223740887*OFFSET(D$112,MATCH($N$1,$C$112:$C$113,0)-1,0)</f>
        <v>14.365222374088701</v>
      </c>
      <c r="E22" s="38">
        <f ca="1">13.0565080366234*OFFSET(E$112,MATCH($N$1,$C$112:$C$113,0)-1,0)</f>
        <v>13.0565080366234</v>
      </c>
      <c r="F22" s="38">
        <f ca="1">12.6796883833717*OFFSET(F$112,MATCH($N$1,$C$112:$C$113,0)-1,0)</f>
        <v>12.679688383371699</v>
      </c>
      <c r="G22" s="38">
        <f ca="1">12.711792565513*OFFSET(G$112,MATCH($N$1,$C$112:$C$113,0)-1,0)</f>
        <v>12.711792565513001</v>
      </c>
      <c r="H22" s="38">
        <f ca="1">12.5542701505912*OFFSET(H$112,MATCH($N$1,$C$112:$C$113,0)-1,0)</f>
        <v>12.554270150591201</v>
      </c>
      <c r="I22" s="38">
        <f ca="1">14.1964027442925*OFFSET(I$112,MATCH($N$1,$C$112:$C$113,0)-1,0)</f>
        <v>14.1964027442925</v>
      </c>
      <c r="J22" s="38">
        <f ca="1">16.3049536826789*OFFSET(J$112,MATCH($N$1,$C$112:$C$113,0)-1,0)</f>
        <v>16.304953682678899</v>
      </c>
      <c r="K22" s="38">
        <f ca="1">14.7428101192979*OFFSET(K$112,MATCH($N$1,$C$112:$C$113,0)-1,0)</f>
        <v>14.7428101192979</v>
      </c>
      <c r="L22" s="38">
        <f ca="1">15.0690359963203*OFFSET(L$112,MATCH($N$1,$C$112:$C$113,0)-1,0)</f>
        <v>15.0690359963203</v>
      </c>
      <c r="M22" s="38">
        <f ca="1">12.6779679715175*OFFSET(M$112,MATCH($N$1,$C$112:$C$113,0)-1,0)</f>
        <v>12.6779679715175</v>
      </c>
      <c r="N22" s="38">
        <v>14.192110561074573</v>
      </c>
      <c r="O22" s="29">
        <f t="shared" ca="1" si="0"/>
        <v>-1.2050757621850559E-2</v>
      </c>
      <c r="P22" s="29">
        <f t="shared" ca="1" si="1"/>
        <v>-0.12958289626108199</v>
      </c>
    </row>
    <row r="23" spans="1:16" ht="18" customHeight="1" x14ac:dyDescent="0.2">
      <c r="A23" s="197"/>
      <c r="B23" s="37" t="s">
        <v>11</v>
      </c>
      <c r="C23" s="38"/>
      <c r="D23" s="38">
        <f ca="1">13.8185631447154*OFFSET(D$112,MATCH($N$1,$C$112:$C$113,0)-1,0)</f>
        <v>13.8185631447154</v>
      </c>
      <c r="E23" s="38">
        <f ca="1">11.744411158517*OFFSET(E$112,MATCH($N$1,$C$112:$C$113,0)-1,0)</f>
        <v>11.744411158517</v>
      </c>
      <c r="F23" s="38">
        <f ca="1">11.9400125432031*OFFSET(F$112,MATCH($N$1,$C$112:$C$113,0)-1,0)</f>
        <v>11.9400125432031</v>
      </c>
      <c r="G23" s="38">
        <f ca="1">12.4521960643631*OFFSET(G$112,MATCH($N$1,$C$112:$C$113,0)-1,0)</f>
        <v>12.4521960643631</v>
      </c>
      <c r="H23" s="38">
        <f ca="1">11.4816971611485*OFFSET(H$112,MATCH($N$1,$C$112:$C$113,0)-1,0)</f>
        <v>11.481697161148499</v>
      </c>
      <c r="I23" s="38">
        <f ca="1">10.7793828248077*OFFSET(I$112,MATCH($N$1,$C$112:$C$113,0)-1,0)</f>
        <v>10.779382824807699</v>
      </c>
      <c r="J23" s="38">
        <f ca="1">12.5411265142679*OFFSET(J$112,MATCH($N$1,$C$112:$C$113,0)-1,0)</f>
        <v>12.5411265142679</v>
      </c>
      <c r="K23" s="38">
        <f ca="1">12.6480056179432*OFFSET(K$112,MATCH($N$1,$C$112:$C$113,0)-1,0)</f>
        <v>12.6480056179432</v>
      </c>
      <c r="L23" s="38">
        <f ca="1">11.5657672614283*OFFSET(L$112,MATCH($N$1,$C$112:$C$113,0)-1,0)</f>
        <v>11.5657672614283</v>
      </c>
      <c r="M23" s="38">
        <f ca="1">10.3442945683748*OFFSET(M$112,MATCH($N$1,$C$112:$C$113,0)-1,0)</f>
        <v>10.344294568374799</v>
      </c>
      <c r="N23" s="38">
        <v>11.580469930990517</v>
      </c>
      <c r="O23" s="29">
        <f t="shared" ca="1" si="0"/>
        <v>-0.16196280252052045</v>
      </c>
      <c r="P23" s="29">
        <f t="shared" ca="1" si="1"/>
        <v>-7.6600501731997825E-2</v>
      </c>
    </row>
    <row r="24" spans="1:16" ht="18" customHeight="1" x14ac:dyDescent="0.2">
      <c r="A24" s="197"/>
      <c r="B24" s="37" t="s">
        <v>12</v>
      </c>
      <c r="C24" s="38"/>
      <c r="D24" s="38">
        <f ca="1">0.555300241000162*OFFSET(D$112,MATCH($N$1,$C$112:$C$113,0)-1,0)</f>
        <v>0.55530024100016195</v>
      </c>
      <c r="E24" s="38">
        <f ca="1">1.87503511803041*OFFSET(E$112,MATCH($N$1,$C$112:$C$113,0)-1,0)</f>
        <v>1.8750351180304099</v>
      </c>
      <c r="F24" s="38">
        <f ca="1">0.811932004370181*OFFSET(F$112,MATCH($N$1,$C$112:$C$113,0)-1,0)</f>
        <v>0.81193200437018098</v>
      </c>
      <c r="G24" s="38">
        <f ca="1">0.693137674337098*OFFSET(G$112,MATCH($N$1,$C$112:$C$113,0)-1,0)</f>
        <v>0.69313767433709805</v>
      </c>
      <c r="H24" s="38">
        <f ca="1">1.8247698695124*OFFSET(H$112,MATCH($N$1,$C$112:$C$113,0)-1,0)</f>
        <v>1.8247698695123999</v>
      </c>
      <c r="I24" s="38">
        <f ca="1">3.41701991948483*OFFSET(I$112,MATCH($N$1,$C$112:$C$113,0)-1,0)</f>
        <v>3.4170199194848299</v>
      </c>
      <c r="J24" s="38">
        <f ca="1">3.76389165999062*OFFSET(J$112,MATCH($N$1,$C$112:$C$113,0)-1,0)</f>
        <v>3.76389165999062</v>
      </c>
      <c r="K24" s="38">
        <f ca="1">2.28602070629642*OFFSET(K$112,MATCH($N$1,$C$112:$C$113,0)-1,0)</f>
        <v>2.2860207062964202</v>
      </c>
      <c r="L24" s="38">
        <f ca="1">3.57498966584232*OFFSET(L$112,MATCH($N$1,$C$112:$C$113,0)-1,0)</f>
        <v>3.5749896658423199</v>
      </c>
      <c r="M24" s="38">
        <f ca="1">2.53556193116491*OFFSET(M$112,MATCH($N$1,$C$112:$C$113,0)-1,0)</f>
        <v>2.53556193116491</v>
      </c>
      <c r="N24" s="38">
        <v>2.6116406300840556</v>
      </c>
      <c r="O24" s="29">
        <f t="shared" ca="1" si="0"/>
        <v>3.7031145266210932</v>
      </c>
      <c r="P24" s="29">
        <f t="shared" ca="1" si="1"/>
        <v>-0.30613288957138474</v>
      </c>
    </row>
    <row r="25" spans="1:16" ht="18" customHeight="1" x14ac:dyDescent="0.2">
      <c r="A25" s="197"/>
      <c r="B25" s="37" t="s">
        <v>68</v>
      </c>
      <c r="C25" s="33"/>
      <c r="D25" s="33">
        <f ca="1">98.8*OFFSET(D$112,MATCH($N$1,$C$112:$C$113,0)-1,0)</f>
        <v>98.8</v>
      </c>
      <c r="E25" s="33">
        <f ca="1">80.66*OFFSET(E$112,MATCH($N$1,$C$112:$C$113,0)-1,0)</f>
        <v>80.66</v>
      </c>
      <c r="F25" s="33">
        <f ca="1">77.11*OFFSET(F$112,MATCH($N$1,$C$112:$C$113,0)-1,0)</f>
        <v>77.11</v>
      </c>
      <c r="G25" s="33">
        <f ca="1">94.62*OFFSET(G$112,MATCH($N$1,$C$112:$C$113,0)-1,0)</f>
        <v>94.62</v>
      </c>
      <c r="H25" s="33">
        <f ca="1">95.66*OFFSET(H$112,MATCH($N$1,$C$112:$C$113,0)-1,0)</f>
        <v>95.66</v>
      </c>
      <c r="I25" s="33">
        <f ca="1">149.29*OFFSET(I$112,MATCH($N$1,$C$112:$C$113,0)-1,0)</f>
        <v>149.29</v>
      </c>
      <c r="J25" s="33">
        <f ca="1">105.48*OFFSET(J$112,MATCH($N$1,$C$112:$C$113,0)-1,0)</f>
        <v>105.48</v>
      </c>
      <c r="K25" s="33">
        <f ca="1">101.63*OFFSET(K$112,MATCH($N$1,$C$112:$C$113,0)-1,0)</f>
        <v>101.63</v>
      </c>
      <c r="L25" s="33">
        <f ca="1">84.68*OFFSET(L$112,MATCH($N$1,$C$112:$C$113,0)-1,0)</f>
        <v>84.68</v>
      </c>
      <c r="M25" s="33">
        <f ca="1">96.44*OFFSET(M$112,MATCH($N$1,$C$112:$C$113,0)-1,0)</f>
        <v>96.44</v>
      </c>
      <c r="N25" s="33">
        <v>104.71</v>
      </c>
      <c r="O25" s="29">
        <f t="shared" ca="1" si="0"/>
        <v>5.9817813765182151E-2</v>
      </c>
      <c r="P25" s="29">
        <f t="shared" ca="1" si="1"/>
        <v>-7.2999620781191718E-3</v>
      </c>
    </row>
    <row r="26" spans="1:16" ht="18" customHeight="1" x14ac:dyDescent="0.2">
      <c r="A26" s="198"/>
      <c r="B26" s="37" t="s">
        <v>69</v>
      </c>
      <c r="C26" s="33"/>
      <c r="D26" s="33">
        <f ca="1">3.82*OFFSET(D$112,MATCH($N$1,$C$112:$C$113,0)-1,0)</f>
        <v>3.82</v>
      </c>
      <c r="E26" s="33">
        <f ca="1">11.58*OFFSET(E$112,MATCH($N$1,$C$112:$C$113,0)-1,0)</f>
        <v>11.58</v>
      </c>
      <c r="F26" s="33">
        <f ca="1">4.93*OFFSET(F$112,MATCH($N$1,$C$112:$C$113,0)-1,0)</f>
        <v>4.93</v>
      </c>
      <c r="G26" s="33">
        <f ca="1">5.16*OFFSET(G$112,MATCH($N$1,$C$112:$C$113,0)-1,0)</f>
        <v>5.16</v>
      </c>
      <c r="H26" s="33">
        <f ca="1">13.91*OFFSET(H$112,MATCH($N$1,$C$112:$C$113,0)-1,0)</f>
        <v>13.91</v>
      </c>
      <c r="I26" s="33">
        <f ca="1">35.94*OFFSET(I$112,MATCH($N$1,$C$112:$C$113,0)-1,0)</f>
        <v>35.94</v>
      </c>
      <c r="J26" s="33">
        <f ca="1">24.35*OFFSET(J$112,MATCH($N$1,$C$112:$C$113,0)-1,0)</f>
        <v>24.35</v>
      </c>
      <c r="K26" s="33">
        <f ca="1">15.76*OFFSET(K$112,MATCH($N$1,$C$112:$C$113,0)-1,0)</f>
        <v>15.76</v>
      </c>
      <c r="L26" s="33">
        <f ca="1">20.09*OFFSET(L$112,MATCH($N$1,$C$112:$C$113,0)-1,0)</f>
        <v>20.09</v>
      </c>
      <c r="M26" s="33">
        <f ca="1">19.28*OFFSET(M$112,MATCH($N$1,$C$112:$C$113,0)-1,0)</f>
        <v>19.28</v>
      </c>
      <c r="N26" s="33">
        <v>19.28</v>
      </c>
      <c r="O26" s="34">
        <f t="shared" ca="1" si="0"/>
        <v>4.0471204188481682</v>
      </c>
      <c r="P26" s="34">
        <f t="shared" ca="1" si="1"/>
        <v>-0.2082135523613963</v>
      </c>
    </row>
    <row r="27" spans="1:16" ht="18" customHeight="1" x14ac:dyDescent="0.2">
      <c r="A27" s="187" t="s">
        <v>30</v>
      </c>
      <c r="B27" s="35" t="s">
        <v>63</v>
      </c>
      <c r="C27" s="36"/>
      <c r="D27" s="36">
        <f ca="1">673.3*OFFSET(D$112,MATCH($N$1,$C$112:$C$113,0)-1,0)</f>
        <v>673.3</v>
      </c>
      <c r="E27" s="36">
        <f ca="1">693.5*OFFSET(E$112,MATCH($N$1,$C$112:$C$113,0)-1,0)</f>
        <v>693.5</v>
      </c>
      <c r="F27" s="36">
        <f ca="1">687.7*OFFSET(F$112,MATCH($N$1,$C$112:$C$113,0)-1,0)</f>
        <v>687.7</v>
      </c>
      <c r="G27" s="36">
        <f ca="1">667*OFFSET(G$112,MATCH($N$1,$C$112:$C$113,0)-1,0)</f>
        <v>667</v>
      </c>
      <c r="H27" s="36">
        <f ca="1">610*OFFSET(H$112,MATCH($N$1,$C$112:$C$113,0)-1,0)</f>
        <v>610</v>
      </c>
      <c r="I27" s="36">
        <f ca="1">727*OFFSET(I$112,MATCH($N$1,$C$112:$C$113,0)-1,0)</f>
        <v>727</v>
      </c>
      <c r="J27" s="36">
        <f ca="1">815*OFFSET(J$112,MATCH($N$1,$C$112:$C$113,0)-1,0)</f>
        <v>815</v>
      </c>
      <c r="K27" s="36">
        <f ca="1">707.5*OFFSET(K$112,MATCH($N$1,$C$112:$C$113,0)-1,0)</f>
        <v>707.5</v>
      </c>
      <c r="L27" s="36">
        <f ca="1">739.1*OFFSET(L$112,MATCH($N$1,$C$112:$C$113,0)-1,0)</f>
        <v>739.1</v>
      </c>
      <c r="M27" s="36">
        <f ca="1">553.1*OFFSET(M$112,MATCH($N$1,$C$112:$C$113,0)-1,0)</f>
        <v>553.1</v>
      </c>
      <c r="N27" s="36">
        <v>668.7</v>
      </c>
      <c r="O27" s="29">
        <f t="shared" ca="1" si="0"/>
        <v>-6.8320213871972514E-3</v>
      </c>
      <c r="P27" s="29">
        <f t="shared" ca="1" si="1"/>
        <v>-0.17950920245398769</v>
      </c>
    </row>
    <row r="28" spans="1:16" ht="18" customHeight="1" x14ac:dyDescent="0.2">
      <c r="A28" s="199"/>
      <c r="B28" s="37" t="s">
        <v>70</v>
      </c>
      <c r="C28" s="33"/>
      <c r="D28" s="33">
        <f ca="1">0.4*OFFSET(D$112,MATCH($N$1,$C$112:$C$113,0)-1,0)</f>
        <v>0.4</v>
      </c>
      <c r="E28" s="33">
        <f ca="1">29.9*OFFSET(E$112,MATCH($N$1,$C$112:$C$113,0)-1,0)</f>
        <v>29.9</v>
      </c>
      <c r="F28" s="33">
        <f ca="1">3.9*OFFSET(F$112,MATCH($N$1,$C$112:$C$113,0)-1,0)</f>
        <v>3.9</v>
      </c>
      <c r="G28" s="33">
        <f ca="1">22.7*OFFSET(G$112,MATCH($N$1,$C$112:$C$113,0)-1,0)</f>
        <v>22.7</v>
      </c>
      <c r="H28" s="33">
        <f ca="1">36.6*OFFSET(H$112,MATCH($N$1,$C$112:$C$113,0)-1,0)</f>
        <v>36.6</v>
      </c>
      <c r="I28" s="33"/>
      <c r="J28" s="33"/>
      <c r="K28" s="33">
        <f ca="1">9.2*OFFSET(K$112,MATCH($N$1,$C$112:$C$113,0)-1,0)</f>
        <v>9.1999999999999993</v>
      </c>
      <c r="L28" s="33">
        <f ca="1">3.5*OFFSET(L$112,MATCH($N$1,$C$112:$C$113,0)-1,0)</f>
        <v>3.5</v>
      </c>
      <c r="M28" s="33">
        <f ca="1">8.8*OFFSET(M$112,MATCH($N$1,$C$112:$C$113,0)-1,0)</f>
        <v>8.8000000000000007</v>
      </c>
      <c r="N28" s="33"/>
      <c r="O28" s="29" t="str">
        <f t="shared" si="0"/>
        <v/>
      </c>
      <c r="P28" s="29" t="str">
        <f t="shared" si="1"/>
        <v/>
      </c>
    </row>
    <row r="29" spans="1:16" ht="18" customHeight="1" x14ac:dyDescent="0.2">
      <c r="A29" s="199"/>
      <c r="B29" s="42" t="s">
        <v>71</v>
      </c>
      <c r="C29" s="43"/>
      <c r="D29" s="43">
        <f ca="1">673.8*OFFSET(D$112,MATCH($N$1,$C$112:$C$113,0)-1,0)</f>
        <v>673.8</v>
      </c>
      <c r="E29" s="43">
        <f ca="1">723.4*OFFSET(E$112,MATCH($N$1,$C$112:$C$113,0)-1,0)</f>
        <v>723.4</v>
      </c>
      <c r="F29" s="43">
        <f ca="1">691.6*OFFSET(F$112,MATCH($N$1,$C$112:$C$113,0)-1,0)</f>
        <v>691.6</v>
      </c>
      <c r="G29" s="43">
        <f ca="1">689.8*OFFSET(G$112,MATCH($N$1,$C$112:$C$113,0)-1,0)</f>
        <v>689.8</v>
      </c>
      <c r="H29" s="43">
        <f ca="1">646.6*OFFSET(H$112,MATCH($N$1,$C$112:$C$113,0)-1,0)</f>
        <v>646.6</v>
      </c>
      <c r="I29" s="43">
        <f ca="1">727*OFFSET(I$112,MATCH($N$1,$C$112:$C$113,0)-1,0)</f>
        <v>727</v>
      </c>
      <c r="J29" s="43">
        <f ca="1">815*OFFSET(J$112,MATCH($N$1,$C$112:$C$113,0)-1,0)</f>
        <v>815</v>
      </c>
      <c r="K29" s="43">
        <f ca="1">716.7*OFFSET(K$112,MATCH($N$1,$C$112:$C$113,0)-1,0)</f>
        <v>716.7</v>
      </c>
      <c r="L29" s="43">
        <f ca="1">742.6*OFFSET(L$112,MATCH($N$1,$C$112:$C$113,0)-1,0)</f>
        <v>742.6</v>
      </c>
      <c r="M29" s="43">
        <f ca="1">561.9*OFFSET(M$112,MATCH($N$1,$C$112:$C$113,0)-1,0)</f>
        <v>561.9</v>
      </c>
      <c r="N29" s="43">
        <v>668.7</v>
      </c>
      <c r="O29" s="29">
        <f t="shared" ca="1" si="0"/>
        <v>-7.5690115761352173E-3</v>
      </c>
      <c r="P29" s="29">
        <f t="shared" ca="1" si="1"/>
        <v>-0.17950920245398769</v>
      </c>
    </row>
    <row r="30" spans="1:16" ht="18" customHeight="1" x14ac:dyDescent="0.2">
      <c r="A30" s="199"/>
      <c r="B30" s="37" t="s">
        <v>72</v>
      </c>
      <c r="C30" s="33"/>
      <c r="D30" s="33">
        <f ca="1">160.7*OFFSET(D$112,MATCH($N$1,$C$112:$C$113,0)-1,0)</f>
        <v>160.69999999999999</v>
      </c>
      <c r="E30" s="33">
        <f ca="1">181.7*OFFSET(E$112,MATCH($N$1,$C$112:$C$113,0)-1,0)</f>
        <v>181.7</v>
      </c>
      <c r="F30" s="33">
        <f ca="1">180.2*OFFSET(F$112,MATCH($N$1,$C$112:$C$113,0)-1,0)</f>
        <v>180.2</v>
      </c>
      <c r="G30" s="33">
        <f ca="1">160.8*OFFSET(G$112,MATCH($N$1,$C$112:$C$113,0)-1,0)</f>
        <v>160.80000000000001</v>
      </c>
      <c r="H30" s="33">
        <f ca="1">101.9*OFFSET(H$112,MATCH($N$1,$C$112:$C$113,0)-1,0)</f>
        <v>101.9</v>
      </c>
      <c r="I30" s="33">
        <f ca="1">99.4*OFFSET(I$112,MATCH($N$1,$C$112:$C$113,0)-1,0)</f>
        <v>99.4</v>
      </c>
      <c r="J30" s="33">
        <f ca="1">120.8*OFFSET(J$112,MATCH($N$1,$C$112:$C$113,0)-1,0)</f>
        <v>120.8</v>
      </c>
      <c r="K30" s="33">
        <f ca="1">130.2*OFFSET(K$112,MATCH($N$1,$C$112:$C$113,0)-1,0)</f>
        <v>130.19999999999999</v>
      </c>
      <c r="L30" s="33">
        <f ca="1">131.1*OFFSET(L$112,MATCH($N$1,$C$112:$C$113,0)-1,0)</f>
        <v>131.1</v>
      </c>
      <c r="M30" s="33">
        <f ca="1">81.9*OFFSET(M$112,MATCH($N$1,$C$112:$C$113,0)-1,0)</f>
        <v>81.900000000000006</v>
      </c>
      <c r="N30" s="33">
        <v>111.60000000000001</v>
      </c>
      <c r="O30" s="29">
        <f t="shared" ca="1" si="0"/>
        <v>-0.30553827006845041</v>
      </c>
      <c r="P30" s="29">
        <f t="shared" ca="1" si="1"/>
        <v>-7.6158940397350897E-2</v>
      </c>
    </row>
    <row r="31" spans="1:16" ht="18" customHeight="1" x14ac:dyDescent="0.2">
      <c r="A31" s="199"/>
      <c r="B31" s="37" t="s">
        <v>73</v>
      </c>
      <c r="C31" s="33"/>
      <c r="D31" s="33">
        <f ca="1">179.6*OFFSET(D$112,MATCH($N$1,$C$112:$C$113,0)-1,0)</f>
        <v>179.6</v>
      </c>
      <c r="E31" s="33">
        <f ca="1">174.4*OFFSET(E$112,MATCH($N$1,$C$112:$C$113,0)-1,0)</f>
        <v>174.4</v>
      </c>
      <c r="F31" s="33">
        <f ca="1">168.5*OFFSET(F$112,MATCH($N$1,$C$112:$C$113,0)-1,0)</f>
        <v>168.5</v>
      </c>
      <c r="G31" s="33">
        <f ca="1">179.3*OFFSET(G$112,MATCH($N$1,$C$112:$C$113,0)-1,0)</f>
        <v>179.3</v>
      </c>
      <c r="H31" s="33">
        <f ca="1">179.4*OFFSET(H$112,MATCH($N$1,$C$112:$C$113,0)-1,0)</f>
        <v>179.4</v>
      </c>
      <c r="I31" s="33">
        <f ca="1">199.3*OFFSET(I$112,MATCH($N$1,$C$112:$C$113,0)-1,0)</f>
        <v>199.3</v>
      </c>
      <c r="J31" s="33">
        <f ca="1">218.4*OFFSET(J$112,MATCH($N$1,$C$112:$C$113,0)-1,0)</f>
        <v>218.4</v>
      </c>
      <c r="K31" s="33">
        <f ca="1">188.4*OFFSET(K$112,MATCH($N$1,$C$112:$C$113,0)-1,0)</f>
        <v>188.4</v>
      </c>
      <c r="L31" s="33">
        <f ca="1">197.3*OFFSET(L$112,MATCH($N$1,$C$112:$C$113,0)-1,0)</f>
        <v>197.3</v>
      </c>
      <c r="M31" s="33">
        <f ca="1">148*OFFSET(M$112,MATCH($N$1,$C$112:$C$113,0)-1,0)</f>
        <v>148</v>
      </c>
      <c r="N31" s="33">
        <v>173.4</v>
      </c>
      <c r="O31" s="29">
        <f t="shared" ca="1" si="0"/>
        <v>-3.4521158129175882E-2</v>
      </c>
      <c r="P31" s="29">
        <f t="shared" ca="1" si="1"/>
        <v>-0.20604395604395603</v>
      </c>
    </row>
    <row r="32" spans="1:16" ht="18" customHeight="1" x14ac:dyDescent="0.2">
      <c r="A32" s="199"/>
      <c r="B32" s="37" t="s">
        <v>74</v>
      </c>
      <c r="C32" s="33"/>
      <c r="D32" s="33">
        <f ca="1">186.7*OFFSET(D$112,MATCH($N$1,$C$112:$C$113,0)-1,0)</f>
        <v>186.7</v>
      </c>
      <c r="E32" s="33">
        <f ca="1">134.5*OFFSET(E$112,MATCH($N$1,$C$112:$C$113,0)-1,0)</f>
        <v>134.5</v>
      </c>
      <c r="F32" s="33">
        <f ca="1">176.7*OFFSET(F$112,MATCH($N$1,$C$112:$C$113,0)-1,0)</f>
        <v>176.7</v>
      </c>
      <c r="G32" s="33">
        <f ca="1">191.2*OFFSET(G$112,MATCH($N$1,$C$112:$C$113,0)-1,0)</f>
        <v>191.2</v>
      </c>
      <c r="H32" s="33">
        <f ca="1">164.8*OFFSET(H$112,MATCH($N$1,$C$112:$C$113,0)-1,0)</f>
        <v>164.8</v>
      </c>
      <c r="I32" s="33">
        <f ca="1">110.6*OFFSET(I$112,MATCH($N$1,$C$112:$C$113,0)-1,0)</f>
        <v>110.6</v>
      </c>
      <c r="J32" s="33">
        <f ca="1">141.1*OFFSET(J$112,MATCH($N$1,$C$112:$C$113,0)-1,0)</f>
        <v>141.1</v>
      </c>
      <c r="K32" s="33">
        <f ca="1">137.7*OFFSET(K$112,MATCH($N$1,$C$112:$C$113,0)-1,0)</f>
        <v>137.69999999999999</v>
      </c>
      <c r="L32" s="33">
        <f ca="1">118.3*OFFSET(L$112,MATCH($N$1,$C$112:$C$113,0)-1,0)</f>
        <v>118.3</v>
      </c>
      <c r="M32" s="33">
        <f ca="1">140*OFFSET(M$112,MATCH($N$1,$C$112:$C$113,0)-1,0)</f>
        <v>140</v>
      </c>
      <c r="N32" s="33">
        <v>169.3</v>
      </c>
      <c r="O32" s="29">
        <f t="shared" ca="1" si="0"/>
        <v>-9.3197643277985964E-2</v>
      </c>
      <c r="P32" s="29">
        <f t="shared" ca="1" si="1"/>
        <v>0.19985825655563444</v>
      </c>
    </row>
    <row r="33" spans="1:16" ht="18" customHeight="1" x14ac:dyDescent="0.2">
      <c r="A33" s="199"/>
      <c r="B33" s="37" t="s">
        <v>75</v>
      </c>
      <c r="C33" s="33"/>
      <c r="D33" s="33">
        <f ca="1">527.1*OFFSET(D$112,MATCH($N$1,$C$112:$C$113,0)-1,0)</f>
        <v>527.1</v>
      </c>
      <c r="E33" s="33">
        <f ca="1">490.5*OFFSET(E$112,MATCH($N$1,$C$112:$C$113,0)-1,0)</f>
        <v>490.5</v>
      </c>
      <c r="F33" s="33">
        <f ca="1">525.5*OFFSET(F$112,MATCH($N$1,$C$112:$C$113,0)-1,0)</f>
        <v>525.5</v>
      </c>
      <c r="G33" s="33">
        <f ca="1">531.3*OFFSET(G$112,MATCH($N$1,$C$112:$C$113,0)-1,0)</f>
        <v>531.29999999999995</v>
      </c>
      <c r="H33" s="33">
        <f ca="1">446.1*OFFSET(H$112,MATCH($N$1,$C$112:$C$113,0)-1,0)</f>
        <v>446.1</v>
      </c>
      <c r="I33" s="33">
        <f ca="1">409.3*OFFSET(I$112,MATCH($N$1,$C$112:$C$113,0)-1,0)</f>
        <v>409.3</v>
      </c>
      <c r="J33" s="33">
        <f ca="1">480.2*OFFSET(J$112,MATCH($N$1,$C$112:$C$113,0)-1,0)</f>
        <v>480.2</v>
      </c>
      <c r="K33" s="33">
        <f ca="1">456.3*OFFSET(K$112,MATCH($N$1,$C$112:$C$113,0)-1,0)</f>
        <v>456.3</v>
      </c>
      <c r="L33" s="33">
        <f ca="1">446.8*OFFSET(L$112,MATCH($N$1,$C$112:$C$113,0)-1,0)</f>
        <v>446.8</v>
      </c>
      <c r="M33" s="33">
        <f ca="1">370*OFFSET(M$112,MATCH($N$1,$C$112:$C$113,0)-1,0)</f>
        <v>370</v>
      </c>
      <c r="N33" s="33">
        <v>454.3</v>
      </c>
      <c r="O33" s="29">
        <f t="shared" ca="1" si="0"/>
        <v>-0.13811420982735725</v>
      </c>
      <c r="P33" s="29">
        <f t="shared" ca="1" si="1"/>
        <v>-5.3935860058308992E-2</v>
      </c>
    </row>
    <row r="34" spans="1:16" ht="18" customHeight="1" x14ac:dyDescent="0.2">
      <c r="A34" s="199"/>
      <c r="B34" s="37" t="s">
        <v>76</v>
      </c>
      <c r="C34" s="33"/>
      <c r="D34" s="33">
        <f ca="1">120.7*OFFSET(D$112,MATCH($N$1,$C$112:$C$113,0)-1,0)</f>
        <v>120.7</v>
      </c>
      <c r="E34" s="33">
        <f ca="1">133.3*OFFSET(E$112,MATCH($N$1,$C$112:$C$113,0)-1,0)</f>
        <v>133.30000000000001</v>
      </c>
      <c r="F34" s="33">
        <f ca="1">122.1*OFFSET(F$112,MATCH($N$1,$C$112:$C$113,0)-1,0)</f>
        <v>122.1</v>
      </c>
      <c r="G34" s="33">
        <f ca="1">122.1*OFFSET(G$112,MATCH($N$1,$C$112:$C$113,0)-1,0)</f>
        <v>122.1</v>
      </c>
      <c r="H34" s="33">
        <f ca="1">111.8*OFFSET(H$112,MATCH($N$1,$C$112:$C$113,0)-1,0)</f>
        <v>111.8</v>
      </c>
      <c r="I34" s="33">
        <f ca="1">142.7*OFFSET(I$112,MATCH($N$1,$C$112:$C$113,0)-1,0)</f>
        <v>142.69999999999999</v>
      </c>
      <c r="J34" s="33">
        <f ca="1">146.6*OFFSET(J$112,MATCH($N$1,$C$112:$C$113,0)-1,0)</f>
        <v>146.6</v>
      </c>
      <c r="K34" s="33">
        <f ca="1">150.7*OFFSET(K$112,MATCH($N$1,$C$112:$C$113,0)-1,0)</f>
        <v>150.69999999999999</v>
      </c>
      <c r="L34" s="33">
        <f ca="1">120.5*OFFSET(L$112,MATCH($N$1,$C$112:$C$113,0)-1,0)</f>
        <v>120.5</v>
      </c>
      <c r="M34" s="33">
        <f ca="1">81.3*OFFSET(M$112,MATCH($N$1,$C$112:$C$113,0)-1,0)</f>
        <v>81.3</v>
      </c>
      <c r="N34" s="33">
        <v>91.4</v>
      </c>
      <c r="O34" s="29">
        <f t="shared" ca="1" si="0"/>
        <v>-0.24275062137531067</v>
      </c>
      <c r="P34" s="29">
        <f t="shared" ca="1" si="1"/>
        <v>-0.37653478854024552</v>
      </c>
    </row>
    <row r="35" spans="1:16" ht="18" customHeight="1" x14ac:dyDescent="0.2">
      <c r="A35" s="199"/>
      <c r="B35" s="37" t="s">
        <v>77</v>
      </c>
      <c r="C35" s="33"/>
      <c r="D35" s="33">
        <f ca="1">647.7*OFFSET(D$112,MATCH($N$1,$C$112:$C$113,0)-1,0)</f>
        <v>647.70000000000005</v>
      </c>
      <c r="E35" s="33">
        <f ca="1">623.8*OFFSET(E$112,MATCH($N$1,$C$112:$C$113,0)-1,0)</f>
        <v>623.79999999999995</v>
      </c>
      <c r="F35" s="33">
        <f ca="1">647.6*OFFSET(F$112,MATCH($N$1,$C$112:$C$113,0)-1,0)</f>
        <v>647.6</v>
      </c>
      <c r="G35" s="33">
        <f ca="1">653.4*OFFSET(G$112,MATCH($N$1,$C$112:$C$113,0)-1,0)</f>
        <v>653.4</v>
      </c>
      <c r="H35" s="33">
        <f ca="1">557.9*OFFSET(H$112,MATCH($N$1,$C$112:$C$113,0)-1,0)</f>
        <v>557.9</v>
      </c>
      <c r="I35" s="33">
        <f ca="1">552*OFFSET(I$112,MATCH($N$1,$C$112:$C$113,0)-1,0)</f>
        <v>552</v>
      </c>
      <c r="J35" s="33">
        <f ca="1">626.8*OFFSET(J$112,MATCH($N$1,$C$112:$C$113,0)-1,0)</f>
        <v>626.79999999999995</v>
      </c>
      <c r="K35" s="33">
        <f ca="1">607*OFFSET(K$112,MATCH($N$1,$C$112:$C$113,0)-1,0)</f>
        <v>607</v>
      </c>
      <c r="L35" s="33">
        <f ca="1">567.2*OFFSET(L$112,MATCH($N$1,$C$112:$C$113,0)-1,0)</f>
        <v>567.20000000000005</v>
      </c>
      <c r="M35" s="33">
        <f ca="1">451.3*OFFSET(M$112,MATCH($N$1,$C$112:$C$113,0)-1,0)</f>
        <v>451.3</v>
      </c>
      <c r="N35" s="33">
        <v>545.70000000000005</v>
      </c>
      <c r="O35" s="29">
        <f t="shared" ca="1" si="0"/>
        <v>-0.15748031496062992</v>
      </c>
      <c r="P35" s="29">
        <f t="shared" ca="1" si="1"/>
        <v>-0.12938736439055507</v>
      </c>
    </row>
    <row r="36" spans="1:16" ht="18" customHeight="1" x14ac:dyDescent="0.2">
      <c r="A36" s="199"/>
      <c r="B36" s="42" t="s">
        <v>78</v>
      </c>
      <c r="C36" s="43"/>
      <c r="D36" s="43">
        <f ca="1">205.6*OFFSET(D$112,MATCH($N$1,$C$112:$C$113,0)-1,0)</f>
        <v>205.6</v>
      </c>
      <c r="E36" s="43">
        <f ca="1">274*OFFSET(E$112,MATCH($N$1,$C$112:$C$113,0)-1,0)</f>
        <v>274</v>
      </c>
      <c r="F36" s="43">
        <f ca="1">212.5*OFFSET(F$112,MATCH($N$1,$C$112:$C$113,0)-1,0)</f>
        <v>212.5</v>
      </c>
      <c r="G36" s="43">
        <f ca="1">215.7*OFFSET(G$112,MATCH($N$1,$C$112:$C$113,0)-1,0)</f>
        <v>215.7</v>
      </c>
      <c r="H36" s="43">
        <f ca="1">268.1*OFFSET(H$112,MATCH($N$1,$C$112:$C$113,0)-1,0)</f>
        <v>268.10000000000002</v>
      </c>
      <c r="I36" s="43">
        <f ca="1">374.3*OFFSET(I$112,MATCH($N$1,$C$112:$C$113,0)-1,0)</f>
        <v>374.3</v>
      </c>
      <c r="J36" s="43">
        <f ca="1">406.5*OFFSET(J$112,MATCH($N$1,$C$112:$C$113,0)-1,0)</f>
        <v>406.5</v>
      </c>
      <c r="K36" s="43">
        <f ca="1">298.1*OFFSET(K$112,MATCH($N$1,$C$112:$C$113,0)-1,0)</f>
        <v>298.10000000000002</v>
      </c>
      <c r="L36" s="43">
        <f ca="1">372.6*OFFSET(L$112,MATCH($N$1,$C$112:$C$113,0)-1,0)</f>
        <v>372.6</v>
      </c>
      <c r="M36" s="43">
        <f ca="1">258.6*OFFSET(M$112,MATCH($N$1,$C$112:$C$113,0)-1,0)</f>
        <v>258.60000000000002</v>
      </c>
      <c r="N36" s="43">
        <v>296.5</v>
      </c>
      <c r="O36" s="29">
        <f t="shared" ca="1" si="0"/>
        <v>0.44212062256809342</v>
      </c>
      <c r="P36" s="29">
        <f t="shared" ca="1" si="1"/>
        <v>-0.27060270602706027</v>
      </c>
    </row>
    <row r="37" spans="1:16" ht="18" customHeight="1" x14ac:dyDescent="0.2">
      <c r="A37" s="199"/>
      <c r="B37" s="42" t="s">
        <v>79</v>
      </c>
      <c r="C37" s="43"/>
      <c r="D37" s="43">
        <f ca="1">26*OFFSET(D$112,MATCH($N$1,$C$112:$C$113,0)-1,0)</f>
        <v>26</v>
      </c>
      <c r="E37" s="43">
        <f ca="1">99.6*OFFSET(E$112,MATCH($N$1,$C$112:$C$113,0)-1,0)</f>
        <v>99.6</v>
      </c>
      <c r="F37" s="43">
        <f ca="1">44*OFFSET(F$112,MATCH($N$1,$C$112:$C$113,0)-1,0)</f>
        <v>44</v>
      </c>
      <c r="G37" s="43">
        <f ca="1">36.4*OFFSET(G$112,MATCH($N$1,$C$112:$C$113,0)-1,0)</f>
        <v>36.4</v>
      </c>
      <c r="H37" s="43">
        <f ca="1">88.7*OFFSET(H$112,MATCH($N$1,$C$112:$C$113,0)-1,0)</f>
        <v>88.7</v>
      </c>
      <c r="I37" s="43">
        <f ca="1">175*OFFSET(I$112,MATCH($N$1,$C$112:$C$113,0)-1,0)</f>
        <v>175</v>
      </c>
      <c r="J37" s="43">
        <f ca="1">188.1*OFFSET(J$112,MATCH($N$1,$C$112:$C$113,0)-1,0)</f>
        <v>188.1</v>
      </c>
      <c r="K37" s="43">
        <f ca="1">109.7*OFFSET(K$112,MATCH($N$1,$C$112:$C$113,0)-1,0)</f>
        <v>109.7</v>
      </c>
      <c r="L37" s="43">
        <f ca="1">175.3*OFFSET(L$112,MATCH($N$1,$C$112:$C$113,0)-1,0)</f>
        <v>175.3</v>
      </c>
      <c r="M37" s="43">
        <f ca="1">110.6*OFFSET(M$112,MATCH($N$1,$C$112:$C$113,0)-1,0)</f>
        <v>110.6</v>
      </c>
      <c r="N37" s="43">
        <v>123.10000000000001</v>
      </c>
      <c r="O37" s="29">
        <f t="shared" ca="1" si="0"/>
        <v>3.7346153846153851</v>
      </c>
      <c r="P37" s="29">
        <f t="shared" ca="1" si="1"/>
        <v>-0.34556087187666129</v>
      </c>
    </row>
    <row r="38" spans="1:16" ht="18" customHeight="1" x14ac:dyDescent="0.2">
      <c r="A38" s="199"/>
      <c r="B38" s="37" t="s">
        <v>80</v>
      </c>
      <c r="C38" s="33"/>
      <c r="D38" s="33">
        <f ca="1">15.6*OFFSET(D$112,MATCH($N$1,$C$112:$C$113,0)-1,0)</f>
        <v>15.6</v>
      </c>
      <c r="E38" s="33">
        <f ca="1">11.7*OFFSET(E$112,MATCH($N$1,$C$112:$C$113,0)-1,0)</f>
        <v>11.7</v>
      </c>
      <c r="F38" s="33">
        <f ca="1">12.2*OFFSET(F$112,MATCH($N$1,$C$112:$C$113,0)-1,0)</f>
        <v>12.2</v>
      </c>
      <c r="G38" s="33">
        <f ca="1">13.3*OFFSET(G$112,MATCH($N$1,$C$112:$C$113,0)-1,0)</f>
        <v>13.3</v>
      </c>
      <c r="H38" s="33">
        <f ca="1">20.2*OFFSET(H$112,MATCH($N$1,$C$112:$C$113,0)-1,0)</f>
        <v>20.2</v>
      </c>
      <c r="I38" s="33">
        <f ca="1">26.1*OFFSET(I$112,MATCH($N$1,$C$112:$C$113,0)-1,0)</f>
        <v>26.1</v>
      </c>
      <c r="J38" s="33">
        <f ca="1">26.1*OFFSET(J$112,MATCH($N$1,$C$112:$C$113,0)-1,0)</f>
        <v>26.1</v>
      </c>
      <c r="K38" s="33">
        <f ca="1">26.7*OFFSET(K$112,MATCH($N$1,$C$112:$C$113,0)-1,0)</f>
        <v>26.7</v>
      </c>
      <c r="L38" s="33">
        <f ca="1">21.6*OFFSET(L$112,MATCH($N$1,$C$112:$C$113,0)-1,0)</f>
        <v>21.6</v>
      </c>
      <c r="M38" s="33">
        <f ca="1">18.8*OFFSET(M$112,MATCH($N$1,$C$112:$C$113,0)-1,0)</f>
        <v>18.8</v>
      </c>
      <c r="N38" s="33"/>
      <c r="O38" s="29" t="str">
        <f t="shared" si="0"/>
        <v/>
      </c>
      <c r="P38" s="29" t="str">
        <f t="shared" si="1"/>
        <v/>
      </c>
    </row>
    <row r="39" spans="1:16" ht="18" customHeight="1" x14ac:dyDescent="0.2">
      <c r="A39" s="199"/>
      <c r="B39" s="37" t="s">
        <v>81</v>
      </c>
      <c r="C39" s="33"/>
      <c r="D39" s="33">
        <f ca="1">9.9*OFFSET(D$112,MATCH($N$1,$C$112:$C$113,0)-1,0)</f>
        <v>9.9</v>
      </c>
      <c r="E39" s="33">
        <f ca="1">7.5*OFFSET(E$112,MATCH($N$1,$C$112:$C$113,0)-1,0)</f>
        <v>7.5</v>
      </c>
      <c r="F39" s="33">
        <f ca="1">12.1*OFFSET(F$112,MATCH($N$1,$C$112:$C$113,0)-1,0)</f>
        <v>12.1</v>
      </c>
      <c r="G39" s="33">
        <f ca="1">8.2*OFFSET(G$112,MATCH($N$1,$C$112:$C$113,0)-1,0)</f>
        <v>8.1999999999999993</v>
      </c>
      <c r="H39" s="33">
        <f ca="1">5.6*OFFSET(H$112,MATCH($N$1,$C$112:$C$113,0)-1,0)</f>
        <v>5.6</v>
      </c>
      <c r="I39" s="33"/>
      <c r="J39" s="33">
        <f ca="1">1.1*OFFSET(J$112,MATCH($N$1,$C$112:$C$113,0)-1,0)</f>
        <v>1.1000000000000001</v>
      </c>
      <c r="K39" s="33">
        <f ca="1">4.8*OFFSET(K$112,MATCH($N$1,$C$112:$C$113,0)-1,0)</f>
        <v>4.8</v>
      </c>
      <c r="L39" s="33">
        <f ca="1">3.8*OFFSET(L$112,MATCH($N$1,$C$112:$C$113,0)-1,0)</f>
        <v>3.8</v>
      </c>
      <c r="M39" s="33"/>
      <c r="N39" s="33"/>
      <c r="O39" s="29" t="str">
        <f t="shared" si="0"/>
        <v/>
      </c>
      <c r="P39" s="29" t="str">
        <f t="shared" si="1"/>
        <v/>
      </c>
    </row>
    <row r="40" spans="1:16" ht="18" customHeight="1" x14ac:dyDescent="0.2">
      <c r="A40" s="199"/>
      <c r="B40" s="37" t="s">
        <v>82</v>
      </c>
      <c r="C40" s="33"/>
      <c r="D40" s="33">
        <f ca="1">5.8*OFFSET(D$112,MATCH($N$1,$C$112:$C$113,0)-1,0)</f>
        <v>5.8</v>
      </c>
      <c r="E40" s="33">
        <f ca="1">2.9*OFFSET(E$112,MATCH($N$1,$C$112:$C$113,0)-1,0)</f>
        <v>2.9</v>
      </c>
      <c r="F40" s="33">
        <f ca="1">2*OFFSET(F$112,MATCH($N$1,$C$112:$C$113,0)-1,0)</f>
        <v>2</v>
      </c>
      <c r="G40" s="33">
        <f ca="1">2.2*OFFSET(G$112,MATCH($N$1,$C$112:$C$113,0)-1,0)</f>
        <v>2.2000000000000002</v>
      </c>
      <c r="H40" s="33">
        <f ca="1">0.1*OFFSET(H$112,MATCH($N$1,$C$112:$C$113,0)-1,0)</f>
        <v>0.1</v>
      </c>
      <c r="I40" s="33"/>
      <c r="J40" s="33"/>
      <c r="K40" s="33">
        <f ca="1">0.1*OFFSET(K$112,MATCH($N$1,$C$112:$C$113,0)-1,0)</f>
        <v>0.1</v>
      </c>
      <c r="L40" s="33">
        <f ca="1">0.5*OFFSET(L$112,MATCH($N$1,$C$112:$C$113,0)-1,0)</f>
        <v>0.5</v>
      </c>
      <c r="M40" s="33"/>
      <c r="N40" s="33"/>
      <c r="O40" s="29" t="str">
        <f t="shared" si="0"/>
        <v/>
      </c>
      <c r="P40" s="29" t="str">
        <f t="shared" si="1"/>
        <v/>
      </c>
    </row>
    <row r="41" spans="1:16" ht="18" customHeight="1" thickBot="1" x14ac:dyDescent="0.25">
      <c r="A41" s="200"/>
      <c r="B41" s="44" t="s">
        <v>83</v>
      </c>
      <c r="C41" s="45"/>
      <c r="D41" s="45">
        <f ca="1">-5.2*OFFSET(D$112,MATCH($N$1,$C$112:$C$113,0)-1,0)</f>
        <v>-5.2</v>
      </c>
      <c r="E41" s="45">
        <f ca="1">77.5*OFFSET(E$112,MATCH($N$1,$C$112:$C$113,0)-1,0)</f>
        <v>77.5</v>
      </c>
      <c r="F41" s="45">
        <f ca="1">17.7*OFFSET(F$112,MATCH($N$1,$C$112:$C$113,0)-1,0)</f>
        <v>17.7</v>
      </c>
      <c r="G41" s="45">
        <f ca="1">12.7*OFFSET(G$112,MATCH($N$1,$C$112:$C$113,0)-1,0)</f>
        <v>12.7</v>
      </c>
      <c r="H41" s="45">
        <f ca="1">62.7*OFFSET(H$112,MATCH($N$1,$C$112:$C$113,0)-1,0)</f>
        <v>62.7</v>
      </c>
      <c r="I41" s="45">
        <f ca="1">148.9*OFFSET(I$112,MATCH($N$1,$C$112:$C$113,0)-1,0)</f>
        <v>148.9</v>
      </c>
      <c r="J41" s="45">
        <f ca="1">160.9*OFFSET(J$112,MATCH($N$1,$C$112:$C$113,0)-1,0)</f>
        <v>160.9</v>
      </c>
      <c r="K41" s="45">
        <f ca="1">78.1*OFFSET(K$112,MATCH($N$1,$C$112:$C$113,0)-1,0)</f>
        <v>78.099999999999994</v>
      </c>
      <c r="L41" s="45">
        <f ca="1">149.5*OFFSET(L$112,MATCH($N$1,$C$112:$C$113,0)-1,0)</f>
        <v>149.5</v>
      </c>
      <c r="M41" s="45">
        <f ca="1">83*OFFSET(M$112,MATCH($N$1,$C$112:$C$113,0)-1,0)</f>
        <v>83</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22</v>
      </c>
      <c r="F46" s="94" t="s">
        <v>130</v>
      </c>
      <c r="G46" s="94" t="s">
        <v>22</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South West beamers under 250kW</v>
      </c>
      <c r="C48" s="96"/>
      <c r="D48" s="96"/>
      <c r="E48" s="96"/>
      <c r="F48" s="96"/>
      <c r="G48" s="96"/>
      <c r="K48" s="96" t="str">
        <f>$B24&amp;CHAR(10)&amp;$A$1</f>
        <v>Operating profit per kW day at sea (£)
South West beamers under 250kW</v>
      </c>
    </row>
    <row r="49" spans="1:11" s="82" customFormat="1" x14ac:dyDescent="0.2">
      <c r="A49" s="96" t="str">
        <f>$B22&amp;CHAR(10)&amp;$A$1</f>
        <v>Fishing income per kW day at sea (£)
South West beamers under 250kW</v>
      </c>
    </row>
    <row r="50" spans="1:11" s="82" customFormat="1" x14ac:dyDescent="0.2">
      <c r="A50" s="96" t="str">
        <f>$B20&amp;CHAR(10)&amp;$A$1</f>
        <v>Average price per tonne landed (£)
South West beamers under 250kW</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South West beamers under 250kW</v>
      </c>
      <c r="F62" s="96" t="str">
        <f>$B20&amp;CHAR(10)&amp;$A$1</f>
        <v>Average price per tonne landed (£)
South West beamers under 250kW</v>
      </c>
      <c r="K62" s="96" t="str">
        <f>"Average annual operating profit per vessel (£'000)"&amp;CHAR(10)&amp;$A$1</f>
        <v>Average annual operating profit per vessel (£'000)
South West beamers under 250kW</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South West beamers under 250kW</v>
      </c>
      <c r="F76" s="96" t="str">
        <f>"Top 5 landed species by value in "&amp;A77&amp;CHAR(10)&amp;A1</f>
        <v>Top 5 landed species by value in 2020
South West beamers under 250kW</v>
      </c>
    </row>
    <row r="77" spans="1:11" s="96" customFormat="1" x14ac:dyDescent="0.2">
      <c r="A77" s="96">
        <v>2020</v>
      </c>
      <c r="B77" s="96" t="s">
        <v>418</v>
      </c>
      <c r="C77" s="97">
        <v>0.21024859472611526</v>
      </c>
      <c r="D77" s="98">
        <v>553960</v>
      </c>
      <c r="G77" s="96" t="s">
        <v>419</v>
      </c>
      <c r="H77" s="97">
        <v>0.39215882348513015</v>
      </c>
      <c r="I77" s="98">
        <v>12153634</v>
      </c>
      <c r="K77" s="96" t="s">
        <v>87</v>
      </c>
    </row>
    <row r="78" spans="1:11" s="96" customFormat="1" x14ac:dyDescent="0.2">
      <c r="B78" s="96" t="s">
        <v>420</v>
      </c>
      <c r="C78" s="97">
        <v>0.14356948229669658</v>
      </c>
      <c r="D78" s="98">
        <v>3050596</v>
      </c>
      <c r="G78" s="96" t="s">
        <v>421</v>
      </c>
      <c r="H78" s="97">
        <v>0.13882001904842975</v>
      </c>
      <c r="I78" s="98">
        <v>553960</v>
      </c>
    </row>
    <row r="79" spans="1:11" s="96" customFormat="1" x14ac:dyDescent="0.2">
      <c r="B79" s="96" t="s">
        <v>422</v>
      </c>
      <c r="C79" s="97">
        <v>0.11977425234462577</v>
      </c>
      <c r="D79" s="98">
        <v>12153634</v>
      </c>
      <c r="G79" s="96" t="s">
        <v>423</v>
      </c>
      <c r="H79" s="97">
        <v>0.12455001921056869</v>
      </c>
      <c r="I79" s="98">
        <v>3050596</v>
      </c>
    </row>
    <row r="80" spans="1:11" s="96" customFormat="1" x14ac:dyDescent="0.2">
      <c r="B80" s="96" t="s">
        <v>424</v>
      </c>
      <c r="C80" s="97">
        <v>0.10339352057997832</v>
      </c>
      <c r="D80" s="98">
        <v>3689192</v>
      </c>
      <c r="G80" s="96" t="s">
        <v>425</v>
      </c>
      <c r="H80" s="97">
        <v>6.7293824960304907E-2</v>
      </c>
      <c r="I80" s="98">
        <v>1692097</v>
      </c>
    </row>
    <row r="81" spans="1:19" s="96" customFormat="1" x14ac:dyDescent="0.2">
      <c r="B81" s="96" t="s">
        <v>426</v>
      </c>
      <c r="C81" s="97">
        <v>0.10022485392832742</v>
      </c>
      <c r="D81" s="98">
        <v>1692097</v>
      </c>
      <c r="G81" s="96" t="s">
        <v>427</v>
      </c>
      <c r="H81" s="97">
        <v>5.7375586233593567E-2</v>
      </c>
      <c r="I81" s="98">
        <v>3689192</v>
      </c>
    </row>
    <row r="82" spans="1:19" s="96" customFormat="1" x14ac:dyDescent="0.2">
      <c r="B82" s="96" t="s">
        <v>428</v>
      </c>
      <c r="C82" s="97">
        <v>0.32278929612425666</v>
      </c>
      <c r="D82" s="98">
        <v>5920853</v>
      </c>
      <c r="G82" s="96" t="s">
        <v>429</v>
      </c>
      <c r="H82" s="97">
        <v>0.21980172706197298</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144</v>
      </c>
      <c r="D92" s="102">
        <v>0.29691433154849461</v>
      </c>
      <c r="E92" s="102">
        <v>0.30137013569889393</v>
      </c>
      <c r="F92" s="102">
        <v>0.31327666193874859</v>
      </c>
      <c r="G92" s="102">
        <v>0.249869726285287</v>
      </c>
      <c r="H92" s="102">
        <v>0.30845283126236539</v>
      </c>
      <c r="I92" s="102">
        <v>0.27127441686556769</v>
      </c>
      <c r="J92" s="102">
        <v>0.30619542803316985</v>
      </c>
      <c r="K92" s="102">
        <v>0.34313585285352427</v>
      </c>
      <c r="L92" s="102">
        <v>0.39215882348513015</v>
      </c>
      <c r="M92" s="102">
        <v>0.37383740074223321</v>
      </c>
      <c r="O92" s="96">
        <v>12153634</v>
      </c>
    </row>
    <row r="93" spans="1:19" s="96" customFormat="1" hidden="1" x14ac:dyDescent="0.2">
      <c r="B93" s="96">
        <v>2</v>
      </c>
      <c r="C93" s="96" t="s">
        <v>103</v>
      </c>
      <c r="D93" s="102">
        <v>0.22601312548148128</v>
      </c>
      <c r="E93" s="102">
        <v>0.176768965806258</v>
      </c>
      <c r="F93" s="102">
        <v>0.13221071188071332</v>
      </c>
      <c r="G93" s="102">
        <v>0.21384471077836212</v>
      </c>
      <c r="H93" s="102">
        <v>0.20228788958969762</v>
      </c>
      <c r="I93" s="102">
        <v>0.32155277023419343</v>
      </c>
      <c r="J93" s="102">
        <v>0.23451764617336684</v>
      </c>
      <c r="K93" s="102">
        <v>0.19411595030056836</v>
      </c>
      <c r="L93" s="102">
        <v>0.13882001904842975</v>
      </c>
      <c r="M93" s="102">
        <v>0.11337697943561206</v>
      </c>
      <c r="O93" s="96">
        <v>553960</v>
      </c>
    </row>
    <row r="94" spans="1:19" s="96" customFormat="1" hidden="1" x14ac:dyDescent="0.2">
      <c r="B94" s="96">
        <v>3</v>
      </c>
      <c r="C94" s="96" t="s">
        <v>143</v>
      </c>
      <c r="D94" s="102">
        <v>0.14394694726582083</v>
      </c>
      <c r="E94" s="102">
        <v>0.16010500847611142</v>
      </c>
      <c r="F94" s="102">
        <v>0.15584372871393073</v>
      </c>
      <c r="G94" s="102">
        <v>0.13602908656050966</v>
      </c>
      <c r="H94" s="102">
        <v>0.13059844942228363</v>
      </c>
      <c r="I94" s="102">
        <v>9.2511798252933597E-2</v>
      </c>
      <c r="J94" s="102">
        <v>7.9992366619658195E-2</v>
      </c>
      <c r="K94" s="102">
        <v>9.7349065764599632E-2</v>
      </c>
      <c r="L94" s="102">
        <v>0.12455001921056869</v>
      </c>
      <c r="M94" s="102">
        <v>0.1499216491316637</v>
      </c>
      <c r="O94" s="96">
        <v>3050596</v>
      </c>
    </row>
    <row r="95" spans="1:19" s="96" customFormat="1" hidden="1" x14ac:dyDescent="0.2">
      <c r="B95" s="96">
        <v>4</v>
      </c>
      <c r="C95" s="96" t="s">
        <v>128</v>
      </c>
      <c r="D95" s="102">
        <v>5.3924473115099888E-2</v>
      </c>
      <c r="E95" s="102">
        <v>5.2155063158520858E-2</v>
      </c>
      <c r="F95" s="102"/>
      <c r="G95" s="102">
        <v>5.8053617621774058E-2</v>
      </c>
      <c r="H95" s="102">
        <v>6.8758930702755891E-2</v>
      </c>
      <c r="I95" s="102">
        <v>7.0112024980534052E-2</v>
      </c>
      <c r="J95" s="102">
        <v>8.8835811922408719E-2</v>
      </c>
      <c r="K95" s="102">
        <v>8.2308144203577308E-2</v>
      </c>
      <c r="L95" s="102">
        <v>6.7293824960304907E-2</v>
      </c>
      <c r="M95" s="102">
        <v>6.6723670130601098E-2</v>
      </c>
      <c r="O95" s="96">
        <v>1692097</v>
      </c>
    </row>
    <row r="96" spans="1:19" s="96" customFormat="1" hidden="1" x14ac:dyDescent="0.2">
      <c r="B96" s="96">
        <v>5</v>
      </c>
      <c r="C96" s="96" t="s">
        <v>100</v>
      </c>
      <c r="D96" s="102">
        <v>4.4048966568223442E-2</v>
      </c>
      <c r="E96" s="102">
        <v>5.7972394508236831E-2</v>
      </c>
      <c r="F96" s="102">
        <v>7.156080587492529E-2</v>
      </c>
      <c r="G96" s="102">
        <v>8.3039232908570543E-2</v>
      </c>
      <c r="H96" s="102">
        <v>5.9237091732385019E-2</v>
      </c>
      <c r="I96" s="102"/>
      <c r="J96" s="102"/>
      <c r="K96" s="102"/>
      <c r="L96" s="102">
        <v>5.7375586233593567E-2</v>
      </c>
      <c r="M96" s="102"/>
      <c r="O96" s="96">
        <v>3689192</v>
      </c>
    </row>
    <row r="97" spans="1:15" s="96" customFormat="1" hidden="1" x14ac:dyDescent="0.2">
      <c r="B97" s="96">
        <v>6</v>
      </c>
      <c r="C97" s="96" t="s">
        <v>147</v>
      </c>
      <c r="D97" s="102"/>
      <c r="E97" s="102"/>
      <c r="F97" s="102"/>
      <c r="G97" s="102"/>
      <c r="H97" s="102"/>
      <c r="I97" s="102">
        <v>4.9078084081424708E-2</v>
      </c>
      <c r="J97" s="102">
        <v>4.9573355836687732E-2</v>
      </c>
      <c r="K97" s="102">
        <v>4.9839300509950696E-2</v>
      </c>
      <c r="L97" s="102"/>
      <c r="M97" s="102">
        <v>5.1923114091215909E-2</v>
      </c>
      <c r="O97" s="96">
        <v>11115023</v>
      </c>
    </row>
    <row r="98" spans="1:15" s="96" customFormat="1" hidden="1" x14ac:dyDescent="0.2">
      <c r="B98" s="96">
        <v>7</v>
      </c>
      <c r="C98" s="96" t="s">
        <v>193</v>
      </c>
      <c r="D98" s="102"/>
      <c r="E98" s="102"/>
      <c r="F98" s="102">
        <v>6.1823384450716522E-2</v>
      </c>
      <c r="G98" s="102"/>
      <c r="H98" s="102"/>
      <c r="I98" s="102"/>
      <c r="J98" s="102"/>
      <c r="K98" s="102"/>
      <c r="L98" s="102"/>
      <c r="M98" s="102"/>
      <c r="O98" s="96">
        <v>2480382</v>
      </c>
    </row>
    <row r="99" spans="1:15" s="96" customFormat="1" hidden="1" x14ac:dyDescent="0.2">
      <c r="B99" s="96">
        <v>8</v>
      </c>
      <c r="C99" s="96" t="s">
        <v>107</v>
      </c>
      <c r="D99" s="102">
        <v>0.23515215602087994</v>
      </c>
      <c r="E99" s="102">
        <v>0.25162843235197896</v>
      </c>
      <c r="F99" s="102">
        <v>0.26528470714096553</v>
      </c>
      <c r="G99" s="102">
        <v>0.25916362584549663</v>
      </c>
      <c r="H99" s="102">
        <v>0.23066480729051245</v>
      </c>
      <c r="I99" s="102">
        <v>0.19547090558534652</v>
      </c>
      <c r="J99" s="102">
        <v>0.24088539141470869</v>
      </c>
      <c r="K99" s="102">
        <v>0.23325168636777971</v>
      </c>
      <c r="L99" s="102">
        <v>0.21980172706197298</v>
      </c>
      <c r="M99" s="102">
        <v>0.24421718646867402</v>
      </c>
      <c r="O99" s="96">
        <v>5920853</v>
      </c>
    </row>
    <row r="100" spans="1:15" s="96" customFormat="1" hidden="1" x14ac:dyDescent="0.2">
      <c r="B100" s="96">
        <v>9</v>
      </c>
      <c r="D100" s="102"/>
      <c r="E100" s="102"/>
      <c r="F100" s="102"/>
      <c r="G100" s="102"/>
      <c r="H100" s="102"/>
      <c r="I100" s="102"/>
      <c r="J100" s="102"/>
      <c r="K100" s="102"/>
      <c r="L100" s="102"/>
      <c r="M100" s="102"/>
      <c r="O100" s="96">
        <v>8497745</v>
      </c>
    </row>
    <row r="101" spans="1:15" s="96" customFormat="1" hidden="1" x14ac:dyDescent="0.2">
      <c r="B101" s="96">
        <v>10</v>
      </c>
      <c r="D101" s="102"/>
      <c r="E101" s="102"/>
      <c r="F101" s="102"/>
      <c r="G101" s="102"/>
      <c r="H101" s="102"/>
      <c r="I101" s="102"/>
      <c r="J101" s="102"/>
      <c r="K101" s="102"/>
      <c r="L101" s="102"/>
      <c r="M101" s="102"/>
      <c r="O101" s="96">
        <v>14393110</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9</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6</v>
      </c>
      <c r="D120" s="56">
        <v>10</v>
      </c>
      <c r="E120" s="56">
        <v>6</v>
      </c>
      <c r="F120" s="57">
        <v>25</v>
      </c>
    </row>
    <row r="121" spans="1:15" ht="18" customHeight="1" x14ac:dyDescent="0.2">
      <c r="A121" s="194" t="s">
        <v>27</v>
      </c>
      <c r="B121" s="35" t="s">
        <v>62</v>
      </c>
      <c r="C121" s="58">
        <v>21.896665573120117</v>
      </c>
      <c r="D121" s="58">
        <v>20.741000175476074</v>
      </c>
      <c r="E121" s="58">
        <v>21.083333969116211</v>
      </c>
      <c r="F121" s="59">
        <v>19.657600402832031</v>
      </c>
    </row>
    <row r="122" spans="1:15" ht="18" customHeight="1" x14ac:dyDescent="0.2">
      <c r="A122" s="195"/>
      <c r="B122" s="37" t="s">
        <v>55</v>
      </c>
      <c r="C122" s="60">
        <v>218.83332824707031</v>
      </c>
      <c r="D122" s="60">
        <v>217.09999847412109</v>
      </c>
      <c r="E122" s="60">
        <v>220.16667175292969</v>
      </c>
      <c r="F122" s="61">
        <v>217.91999816894531</v>
      </c>
    </row>
    <row r="123" spans="1:15" ht="18" customHeight="1" x14ac:dyDescent="0.2">
      <c r="A123" s="195"/>
      <c r="B123" s="37" t="s">
        <v>56</v>
      </c>
      <c r="C123" s="60">
        <v>119.16666412353516</v>
      </c>
      <c r="D123" s="60">
        <v>111</v>
      </c>
      <c r="E123" s="60">
        <v>82.166664123535156</v>
      </c>
      <c r="F123" s="61">
        <v>94.120002746582031</v>
      </c>
    </row>
    <row r="124" spans="1:15" ht="18" customHeight="1" x14ac:dyDescent="0.2">
      <c r="A124" s="195"/>
      <c r="B124" s="37" t="s">
        <v>57</v>
      </c>
      <c r="C124" s="60">
        <v>241.64459228515625</v>
      </c>
      <c r="D124" s="60">
        <v>232.82093048095703</v>
      </c>
      <c r="E124" s="60">
        <v>225.98625183105469</v>
      </c>
      <c r="F124" s="61">
        <v>222.45892333984375</v>
      </c>
    </row>
    <row r="125" spans="1:15" ht="18" customHeight="1" x14ac:dyDescent="0.2">
      <c r="A125" s="195"/>
      <c r="B125" s="37" t="s">
        <v>58</v>
      </c>
      <c r="C125" s="33">
        <v>261.44140625</v>
      </c>
      <c r="D125" s="33">
        <v>217.44846343994141</v>
      </c>
      <c r="E125" s="33">
        <v>141.24058532714844</v>
      </c>
      <c r="F125" s="62">
        <v>169.09306335449219</v>
      </c>
    </row>
    <row r="126" spans="1:15" ht="18" customHeight="1" x14ac:dyDescent="0.2">
      <c r="A126" s="195"/>
      <c r="B126" s="37" t="s">
        <v>63</v>
      </c>
      <c r="C126" s="33">
        <f ca="1">999.35375*OFFSET($L$112,MATCH($N$1,$C$112:$C$113,0)-1,0)</f>
        <v>999.35374999999999</v>
      </c>
      <c r="D126" s="33">
        <f ca="1">755.6465*OFFSET($L$112,MATCH($N$1,$C$112:$C$113,0)-1,0)</f>
        <v>755.64649999999995</v>
      </c>
      <c r="E126" s="33">
        <f ca="1">451.11009375*OFFSET($L$112,MATCH($N$1,$C$112:$C$113,0)-1,0)</f>
        <v>451.11009374999998</v>
      </c>
      <c r="F126" s="62">
        <f ca="1">553.0545625*OFFSET($L$112,MATCH($N$1,$C$112:$C$113,0)-1,0)</f>
        <v>553.05456249999997</v>
      </c>
    </row>
    <row r="127" spans="1:15" ht="18" customHeight="1" x14ac:dyDescent="0.2">
      <c r="A127" s="195"/>
      <c r="B127" s="37" t="s">
        <v>60</v>
      </c>
      <c r="C127" s="60">
        <v>247.83332824707031</v>
      </c>
      <c r="D127" s="60">
        <v>233.60000610351563</v>
      </c>
      <c r="E127" s="60">
        <v>185.66667175292969</v>
      </c>
      <c r="F127" s="61">
        <v>198.80000305175781</v>
      </c>
    </row>
    <row r="128" spans="1:15" ht="18" customHeight="1" x14ac:dyDescent="0.2">
      <c r="A128" s="195"/>
      <c r="B128" s="37" t="s">
        <v>64</v>
      </c>
      <c r="C128" s="60">
        <v>20.333333969116211</v>
      </c>
      <c r="D128" s="60">
        <v>24.899999618530273</v>
      </c>
      <c r="E128" s="60">
        <v>35.666667938232422</v>
      </c>
      <c r="F128" s="61">
        <v>25.600000381469727</v>
      </c>
    </row>
    <row r="129" spans="1:15" ht="18" customHeight="1" x14ac:dyDescent="0.2">
      <c r="A129" s="195"/>
      <c r="B129" s="37" t="s">
        <v>65</v>
      </c>
      <c r="C129" s="63">
        <v>1.0549081563949585</v>
      </c>
      <c r="D129" s="63">
        <v>0.93085812396590029</v>
      </c>
      <c r="E129" s="63">
        <v>0.76072126626968384</v>
      </c>
      <c r="F129" s="64">
        <v>0.85056871175765991</v>
      </c>
    </row>
    <row r="130" spans="1:15" ht="18" customHeight="1" x14ac:dyDescent="0.2">
      <c r="A130" s="196"/>
      <c r="B130" s="39" t="s">
        <v>28</v>
      </c>
      <c r="C130" s="40">
        <f ca="1">3822.4769531892*OFFSET($L$112,MATCH($N$1,$C$112:$C$113,0)-1,0)</f>
        <v>3822.4769531891998</v>
      </c>
      <c r="D130" s="40">
        <f ca="1">3475.06019608507*OFFSET($L$112,MATCH($N$1,$C$112:$C$113,0)-1,0)</f>
        <v>3475.0601960850699</v>
      </c>
      <c r="E130" s="40">
        <f ca="1">3193.91266118812*OFFSET($L$112,MATCH($N$1,$C$112:$C$113,0)-1,0)</f>
        <v>3193.9126611881202</v>
      </c>
      <c r="F130" s="65">
        <f ca="1">3271*OFFSET($L$112,MATCH($N$1,$C$112:$C$113,0)-1,0)</f>
        <v>3271</v>
      </c>
    </row>
    <row r="131" spans="1:15" ht="18" customHeight="1" x14ac:dyDescent="0.2">
      <c r="A131" s="205" t="s">
        <v>29</v>
      </c>
      <c r="B131" s="35" t="s">
        <v>66</v>
      </c>
      <c r="C131" s="66">
        <v>4.8152465949589738</v>
      </c>
      <c r="D131" s="66">
        <v>4.2806163534250219</v>
      </c>
      <c r="E131" s="66">
        <v>3.4556665904078789</v>
      </c>
      <c r="F131" s="67">
        <v>3.8762114749103653</v>
      </c>
    </row>
    <row r="132" spans="1:15" ht="18" customHeight="1" x14ac:dyDescent="0.2">
      <c r="A132" s="206"/>
      <c r="B132" s="37" t="s">
        <v>67</v>
      </c>
      <c r="C132" s="63">
        <f ca="1">18.4061691331535*OFFSET($L$112,MATCH($N$1,$C$112:$C$113,0)-1,0)</f>
        <v>18.406169133153501</v>
      </c>
      <c r="D132" s="63">
        <f ca="1">14.8753995044981*OFFSET($L$112,MATCH($N$1,$C$112:$C$113,0)-1,0)</f>
        <v>14.8753995044981</v>
      </c>
      <c r="E132" s="63">
        <f ca="1">11.0370972759485*OFFSET($L$112,MATCH($N$1,$C$112:$C$113,0)-1,0)</f>
        <v>11.037097275948501</v>
      </c>
      <c r="F132" s="64">
        <f ca="1">12.6779679715175*OFFSET($L$112,MATCH($N$1,$C$112:$C$113,0)-1,0)</f>
        <v>12.6779679715175</v>
      </c>
    </row>
    <row r="133" spans="1:15" ht="18" customHeight="1" x14ac:dyDescent="0.2">
      <c r="A133" s="206"/>
      <c r="B133" s="37" t="s">
        <v>11</v>
      </c>
      <c r="C133" s="63">
        <f ca="1">13.5067531011428*OFFSET($L$112,MATCH($N$1,$C$112:$C$113,0)-1,0)</f>
        <v>13.506753101142801</v>
      </c>
      <c r="D133" s="63">
        <f ca="1">11.4050841521562*OFFSET($L$112,MATCH($N$1,$C$112:$C$113,0)-1,0)</f>
        <v>11.405084152156199</v>
      </c>
      <c r="E133" s="63">
        <f ca="1">9.00464644196009*OFFSET($L$112,MATCH($N$1,$C$112:$C$113,0)-1,0)</f>
        <v>9.0046464419600891</v>
      </c>
      <c r="F133" s="64">
        <f ca="1">10.1424060403526*OFFSET($L$112,MATCH($N$1,$C$112:$C$113,0)-1,0)</f>
        <v>10.142406040352601</v>
      </c>
    </row>
    <row r="134" spans="1:15" ht="18" customHeight="1" x14ac:dyDescent="0.2">
      <c r="A134" s="207"/>
      <c r="B134" s="39" t="s">
        <v>12</v>
      </c>
      <c r="C134" s="68">
        <f ca="1">4.89941603201061*OFFSET($L$112,MATCH($N$1,$C$112:$C$113,0)-1,0)</f>
        <v>4.8994160320106097</v>
      </c>
      <c r="D134" s="68">
        <f ca="1">3.47031535234196*OFFSET($L$112,MATCH($N$1,$C$112:$C$113,0)-1,0)</f>
        <v>3.4703153523419599</v>
      </c>
      <c r="E134" s="68">
        <f ca="1">2.0324508339884*OFFSET($L$112,MATCH($N$1,$C$112:$C$113,0)-1,0)</f>
        <v>2.0324508339884</v>
      </c>
      <c r="F134" s="69">
        <f ca="1">2.53556193116491*OFFSET($L$112,MATCH($N$1,$C$112:$C$113,0)-1,0)</f>
        <v>2.53556193116491</v>
      </c>
    </row>
    <row r="135" spans="1:15" ht="18" customHeight="1" x14ac:dyDescent="0.2">
      <c r="A135" s="208" t="s">
        <v>49</v>
      </c>
      <c r="B135" s="37" t="s">
        <v>109</v>
      </c>
      <c r="C135" s="70">
        <f ca="1">148.3836875*OFFSET($L$112,MATCH($N$1,$C$112:$C$113,0)-1,0)</f>
        <v>148.38368750000001</v>
      </c>
      <c r="D135" s="70">
        <f ca="1">137.0521875*OFFSET($L$112,MATCH($N$1,$C$112:$C$113,0)-1,0)</f>
        <v>137.0521875</v>
      </c>
      <c r="E135" s="70">
        <f ca="1">103.9879765625*OFFSET($L$112,MATCH($N$1,$C$112:$C$113,0)-1,0)</f>
        <v>103.98797656249999</v>
      </c>
      <c r="F135" s="71">
        <f ca="1">81.9291484375*OFFSET($L$112,MATCH($N$1,$C$112:$C$113,0)-1,0)</f>
        <v>81.929148437500004</v>
      </c>
    </row>
    <row r="136" spans="1:15" ht="18" customHeight="1" x14ac:dyDescent="0.2">
      <c r="A136" s="209"/>
      <c r="B136" s="37" t="s">
        <v>110</v>
      </c>
      <c r="C136" s="31">
        <v>285783.32093746401</v>
      </c>
      <c r="D136" s="31">
        <v>263750.00841254747</v>
      </c>
      <c r="E136" s="31">
        <v>200075.01288657263</v>
      </c>
      <c r="F136" s="72">
        <v>222056</v>
      </c>
    </row>
    <row r="137" spans="1:15" ht="18" customHeight="1" x14ac:dyDescent="0.2">
      <c r="A137" s="209"/>
      <c r="B137" s="37" t="s">
        <v>111</v>
      </c>
      <c r="C137" s="31">
        <v>1153.1270751953125</v>
      </c>
      <c r="D137" s="31">
        <v>1129.0667873342065</v>
      </c>
      <c r="E137" s="31">
        <v>1077.603271484375</v>
      </c>
      <c r="F137" s="72">
        <v>1116.98193359375</v>
      </c>
    </row>
    <row r="138" spans="1:15" ht="18" customHeight="1" x14ac:dyDescent="0.2">
      <c r="A138" s="209"/>
      <c r="B138" s="37" t="s">
        <v>112</v>
      </c>
      <c r="C138" s="31">
        <f ca="1">598.723700922392*OFFSET($L$112,MATCH($N$1,$C$112:$C$113,0)-1,0)</f>
        <v>598.72370092239203</v>
      </c>
      <c r="D138" s="31">
        <f ca="1">586.695992804331*OFFSET($L$112,MATCH($N$1,$C$112:$C$113,0)-1,0)</f>
        <v>586.69599280433101</v>
      </c>
      <c r="E138" s="31">
        <f ca="1">560.07885303658*OFFSET($L$112,MATCH($N$1,$C$112:$C$113,0)-1,0)</f>
        <v>560.07885303657997</v>
      </c>
      <c r="F138" s="72">
        <f ca="1">412.118446578543*OFFSET($L$112,MATCH($N$1,$C$112:$C$113,0)-1,0)</f>
        <v>412.118446578543</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567.560011355317*OFFSET($L$112,MATCH($N$1,$C$112:$C$113,0)-1,0)</f>
        <v>567.56001135531699</v>
      </c>
      <c r="D139" s="31">
        <f ca="1">630.274343317461*OFFSET($L$112,MATCH($N$1,$C$112:$C$113,0)-1,0)</f>
        <v>630.27434331746099</v>
      </c>
      <c r="E139" s="31">
        <f ca="1">736.247136909252*OFFSET($L$112,MATCH($N$1,$C$112:$C$113,0)-1,0)</f>
        <v>736.24713690925205</v>
      </c>
      <c r="F139" s="72">
        <f ca="1">484.521049013945*OFFSET($L$112,MATCH($N$1,$C$112:$C$113,0)-1,0)</f>
        <v>484.521049013945</v>
      </c>
      <c r="I139" s="48"/>
      <c r="K139" s="73" t="s">
        <v>114</v>
      </c>
      <c r="L139" s="74">
        <f t="shared" ref="L139:M141" ca="1" si="2">C140</f>
        <v>1004.1101875000001</v>
      </c>
      <c r="M139" s="74">
        <f t="shared" ca="1" si="2"/>
        <v>759.24303124999994</v>
      </c>
      <c r="N139" s="74">
        <f ca="1">E140</f>
        <v>453.25712499999997</v>
      </c>
      <c r="O139" s="74"/>
    </row>
    <row r="140" spans="1:15" ht="18" customHeight="1" x14ac:dyDescent="0.2">
      <c r="A140" s="187" t="s">
        <v>50</v>
      </c>
      <c r="B140" s="35" t="s">
        <v>115</v>
      </c>
      <c r="C140" s="75">
        <f ca="1">1004.1101875*OFFSET($L$112,MATCH($N$1,$C$112:$C$113,0)-1,0)</f>
        <v>1004.1101875000001</v>
      </c>
      <c r="D140" s="75">
        <f ca="1">759.24303125*OFFSET($L$112,MATCH($N$1,$C$112:$C$113,0)-1,0)</f>
        <v>759.24303124999994</v>
      </c>
      <c r="E140" s="75">
        <f ca="1">453.257125*OFFSET($L$112,MATCH($N$1,$C$112:$C$113,0)-1,0)</f>
        <v>453.25712499999997</v>
      </c>
      <c r="F140" s="76">
        <f ca="1">561.8615625*OFFSET($L$112,MATCH($N$1,$C$112:$C$113,0)-1,0)</f>
        <v>561.86156249999999</v>
      </c>
      <c r="I140" s="48"/>
      <c r="K140" s="73" t="s">
        <v>116</v>
      </c>
      <c r="L140" s="74">
        <f t="shared" ca="1" si="2"/>
        <v>738.09887500000002</v>
      </c>
      <c r="M140" s="74">
        <f t="shared" ca="1" si="2"/>
        <v>582.95656250000002</v>
      </c>
      <c r="N140" s="74">
        <f ca="1">E141</f>
        <v>370.18646875000002</v>
      </c>
      <c r="O140" s="74"/>
    </row>
    <row r="141" spans="1:15" ht="18" customHeight="1" x14ac:dyDescent="0.2">
      <c r="A141" s="188"/>
      <c r="B141" s="37" t="s">
        <v>117</v>
      </c>
      <c r="C141" s="31">
        <f ca="1">738.098875*OFFSET($L$112,MATCH($N$1,$C$112:$C$113,0)-1,0)</f>
        <v>738.09887500000002</v>
      </c>
      <c r="D141" s="31">
        <f ca="1">582.9565625*OFFSET($L$112,MATCH($N$1,$C$112:$C$113,0)-1,0)</f>
        <v>582.95656250000002</v>
      </c>
      <c r="E141" s="31">
        <f ca="1">370.18646875*OFFSET($L$112,MATCH($N$1,$C$112:$C$113,0)-1,0)</f>
        <v>370.18646875000002</v>
      </c>
      <c r="F141" s="72">
        <f ca="1">451.2520625*OFFSET($L$112,MATCH($N$1,$C$112:$C$113,0)-1,0)</f>
        <v>451.25206250000002</v>
      </c>
      <c r="I141" s="48"/>
      <c r="K141" s="73" t="s">
        <v>118</v>
      </c>
      <c r="L141" s="74">
        <f t="shared" ca="1" si="2"/>
        <v>266.01131249999997</v>
      </c>
      <c r="M141" s="74">
        <f t="shared" ca="1" si="2"/>
        <v>176.28646875000001</v>
      </c>
      <c r="N141" s="74">
        <f ca="1">E142</f>
        <v>83.070656249999999</v>
      </c>
      <c r="O141" s="74"/>
    </row>
    <row r="142" spans="1:15" ht="18" customHeight="1" x14ac:dyDescent="0.2">
      <c r="A142" s="189"/>
      <c r="B142" s="39" t="s">
        <v>119</v>
      </c>
      <c r="C142" s="40">
        <f ca="1">266.0113125*OFFSET($L$112,MATCH($N$1,$C$112:$C$113,0)-1,0)</f>
        <v>266.01131249999997</v>
      </c>
      <c r="D142" s="40">
        <f ca="1">176.28646875*OFFSET($L$112,MATCH($N$1,$C$112:$C$113,0)-1,0)</f>
        <v>176.28646875000001</v>
      </c>
      <c r="E142" s="40">
        <f ca="1">83.07065625*OFFSET($L$112,MATCH($N$1,$C$112:$C$113,0)-1,0)</f>
        <v>83.070656249999999</v>
      </c>
      <c r="F142" s="65">
        <f ca="1">110.60953125*OFFSET($L$112,MATCH($N$1,$C$112:$C$113,0)-1,0)</f>
        <v>110.60953125</v>
      </c>
      <c r="I142" s="48"/>
      <c r="K142" s="73" t="s">
        <v>120</v>
      </c>
      <c r="L142" s="77">
        <f ca="1">IFERROR(L140/L$139,"")</f>
        <v>0.73507756836696769</v>
      </c>
      <c r="M142" s="77">
        <f t="shared" ref="M142:N143" ca="1" si="3">IFERROR(M140/M$139,"")</f>
        <v>0.76781285900014651</v>
      </c>
      <c r="N142" s="77">
        <f t="shared" ca="1" si="3"/>
        <v>0.81672509560660522</v>
      </c>
      <c r="O142" s="77"/>
    </row>
    <row r="143" spans="1:15" ht="18" customHeight="1" x14ac:dyDescent="0.2">
      <c r="I143" s="48"/>
      <c r="K143" s="73" t="s">
        <v>121</v>
      </c>
      <c r="L143" s="77">
        <f ca="1">IFERROR(L141/L$139,"")</f>
        <v>0.26492243163303225</v>
      </c>
      <c r="M143" s="77">
        <f t="shared" ca="1" si="3"/>
        <v>0.23218714099985363</v>
      </c>
      <c r="N143" s="77">
        <f t="shared" ca="1" si="3"/>
        <v>0.18327490439339481</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7</v>
      </c>
      <c r="B161" s="53"/>
      <c r="C161" s="78" t="s">
        <v>45</v>
      </c>
      <c r="D161" s="78" t="s">
        <v>122</v>
      </c>
      <c r="E161" s="78" t="s">
        <v>47</v>
      </c>
      <c r="F161" s="78" t="s">
        <v>123</v>
      </c>
      <c r="G161" s="79">
        <v>8</v>
      </c>
      <c r="H161" s="78"/>
      <c r="I161" s="78" t="s">
        <v>45</v>
      </c>
      <c r="J161" s="78" t="s">
        <v>122</v>
      </c>
      <c r="K161" s="78" t="s">
        <v>47</v>
      </c>
      <c r="L161" s="53" t="s">
        <v>123</v>
      </c>
      <c r="R161" s="21"/>
      <c r="S161" s="21"/>
    </row>
    <row r="162" spans="1:19" s="48" customFormat="1" x14ac:dyDescent="0.2">
      <c r="A162" s="49">
        <v>1</v>
      </c>
      <c r="B162" s="53" t="s">
        <v>103</v>
      </c>
      <c r="C162" s="53">
        <v>0.25451436452914311</v>
      </c>
      <c r="D162" s="53">
        <v>0.22208845262930968</v>
      </c>
      <c r="E162" s="53">
        <v>0.13458372579695624</v>
      </c>
      <c r="F162" s="49">
        <v>553960</v>
      </c>
      <c r="G162" s="49">
        <v>1</v>
      </c>
      <c r="H162" s="53" t="s">
        <v>144</v>
      </c>
      <c r="I162" s="53">
        <v>0.34113614625930638</v>
      </c>
      <c r="J162" s="53">
        <v>0.43316922540332697</v>
      </c>
      <c r="K162" s="53">
        <v>0.36100716426024448</v>
      </c>
      <c r="L162" s="49">
        <v>12153634</v>
      </c>
      <c r="R162" s="21"/>
      <c r="S162" s="21"/>
    </row>
    <row r="163" spans="1:19" s="48" customFormat="1" x14ac:dyDescent="0.2">
      <c r="A163" s="49">
        <v>2</v>
      </c>
      <c r="B163" s="53" t="s">
        <v>143</v>
      </c>
      <c r="C163" s="53">
        <v>0.14113575259978917</v>
      </c>
      <c r="D163" s="53">
        <v>0.17091239258924579</v>
      </c>
      <c r="E163" s="53">
        <v>0.1139359739202971</v>
      </c>
      <c r="F163" s="49">
        <v>3050596</v>
      </c>
      <c r="G163" s="49">
        <v>2</v>
      </c>
      <c r="H163" s="53" t="s">
        <v>143</v>
      </c>
      <c r="I163" s="53">
        <v>0.10893871498733189</v>
      </c>
      <c r="J163" s="53">
        <v>0.14095144597638792</v>
      </c>
      <c r="K163" s="53">
        <v>0.10560028377433496</v>
      </c>
      <c r="L163" s="49">
        <v>3050596</v>
      </c>
      <c r="N163" s="48" t="s">
        <v>124</v>
      </c>
      <c r="R163" s="21"/>
      <c r="S163" s="21"/>
    </row>
    <row r="164" spans="1:19" s="48" customFormat="1" x14ac:dyDescent="0.2">
      <c r="A164" s="49">
        <v>3</v>
      </c>
      <c r="B164" s="53" t="s">
        <v>144</v>
      </c>
      <c r="C164" s="53">
        <v>0.10997345679334189</v>
      </c>
      <c r="D164" s="53">
        <v>0.14432320132509985</v>
      </c>
      <c r="E164" s="53">
        <v>0.10596836518728707</v>
      </c>
      <c r="F164" s="49">
        <v>12153634</v>
      </c>
      <c r="G164" s="49">
        <v>3</v>
      </c>
      <c r="H164" s="53" t="s">
        <v>103</v>
      </c>
      <c r="I164" s="53">
        <v>0.15432235421118848</v>
      </c>
      <c r="J164" s="53">
        <v>0.13684645914945023</v>
      </c>
      <c r="K164" s="53">
        <v>9.124525193004128E-2</v>
      </c>
      <c r="L164" s="49">
        <v>553960</v>
      </c>
      <c r="N164" s="48" t="s">
        <v>125</v>
      </c>
      <c r="R164" s="21"/>
      <c r="S164" s="21"/>
    </row>
    <row r="165" spans="1:19" s="48" customFormat="1" x14ac:dyDescent="0.2">
      <c r="A165" s="49">
        <v>4</v>
      </c>
      <c r="B165" s="53" t="s">
        <v>100</v>
      </c>
      <c r="C165" s="53">
        <v>7.0034681494360207E-2</v>
      </c>
      <c r="D165" s="53">
        <v>0.1302470004012129</v>
      </c>
      <c r="E165" s="53">
        <v>0.12626753626378281</v>
      </c>
      <c r="F165" s="49">
        <v>3689192</v>
      </c>
      <c r="G165" s="49">
        <v>4</v>
      </c>
      <c r="H165" s="53" t="s">
        <v>128</v>
      </c>
      <c r="I165" s="53">
        <v>6.3293542618152399E-2</v>
      </c>
      <c r="J165" s="53">
        <v>7.4570572619858222E-2</v>
      </c>
      <c r="K165" s="53">
        <v>5.086519020221112E-2</v>
      </c>
      <c r="L165" s="49">
        <v>1692097</v>
      </c>
      <c r="R165" s="21"/>
      <c r="S165" s="21"/>
    </row>
    <row r="166" spans="1:19" s="48" customFormat="1" x14ac:dyDescent="0.2">
      <c r="A166" s="49">
        <v>5</v>
      </c>
      <c r="B166" s="53" t="s">
        <v>128</v>
      </c>
      <c r="C166" s="53">
        <v>9.7484292085308996E-2</v>
      </c>
      <c r="D166" s="53">
        <v>0.12525835506248773</v>
      </c>
      <c r="E166" s="53">
        <v>6.9603813644467494E-2</v>
      </c>
      <c r="F166" s="49">
        <v>1692097</v>
      </c>
      <c r="G166" s="49">
        <v>5</v>
      </c>
      <c r="H166" s="53" t="s">
        <v>100</v>
      </c>
      <c r="I166" s="53">
        <v>0</v>
      </c>
      <c r="J166" s="53">
        <v>6.9135974327934488E-2</v>
      </c>
      <c r="K166" s="53">
        <v>7.0501336362154776E-2</v>
      </c>
      <c r="L166" s="49">
        <v>3689192</v>
      </c>
      <c r="R166" s="21"/>
      <c r="S166" s="21"/>
    </row>
    <row r="167" spans="1:19" s="48" customFormat="1" x14ac:dyDescent="0.2">
      <c r="A167" s="49">
        <v>6</v>
      </c>
      <c r="B167" s="53" t="s">
        <v>107</v>
      </c>
      <c r="C167" s="53">
        <v>0.32685745249805664</v>
      </c>
      <c r="D167" s="53">
        <v>0.20717059799264415</v>
      </c>
      <c r="E167" s="53">
        <v>0.44964058518720929</v>
      </c>
      <c r="F167" s="49">
        <v>5920853</v>
      </c>
      <c r="G167" s="49">
        <v>6</v>
      </c>
      <c r="H167" s="53" t="s">
        <v>147</v>
      </c>
      <c r="I167" s="53">
        <v>4.7545192074943073E-2</v>
      </c>
      <c r="J167" s="53">
        <v>0</v>
      </c>
      <c r="K167" s="53">
        <v>0</v>
      </c>
      <c r="L167" s="49">
        <v>11115023</v>
      </c>
      <c r="R167" s="21"/>
      <c r="S167" s="21"/>
    </row>
    <row r="168" spans="1:19" s="48" customFormat="1" x14ac:dyDescent="0.2">
      <c r="A168" s="49">
        <v>7</v>
      </c>
      <c r="B168" s="53"/>
      <c r="C168" s="53">
        <v>0</v>
      </c>
      <c r="D168" s="53">
        <v>0</v>
      </c>
      <c r="E168" s="53">
        <v>0</v>
      </c>
      <c r="F168" s="49"/>
      <c r="G168" s="49">
        <v>7</v>
      </c>
      <c r="H168" s="53" t="s">
        <v>107</v>
      </c>
      <c r="I168" s="53">
        <v>0.28476404984907766</v>
      </c>
      <c r="J168" s="53">
        <v>0.14532632252304212</v>
      </c>
      <c r="K168" s="53">
        <v>0.32078077347101341</v>
      </c>
      <c r="L168" s="49">
        <v>5920853</v>
      </c>
      <c r="R168" s="21"/>
      <c r="S168" s="21"/>
    </row>
    <row r="169" spans="1:19" s="48" customFormat="1" x14ac:dyDescent="0.2">
      <c r="A169" s="49">
        <v>8</v>
      </c>
      <c r="B169" s="53"/>
      <c r="C169" s="53">
        <v>0</v>
      </c>
      <c r="D169" s="53">
        <v>0</v>
      </c>
      <c r="E169" s="53">
        <v>0</v>
      </c>
      <c r="F169" s="49"/>
      <c r="G169" s="49">
        <v>8</v>
      </c>
      <c r="H169" s="53"/>
      <c r="I169" s="53">
        <v>0</v>
      </c>
      <c r="J169" s="53">
        <v>0</v>
      </c>
      <c r="K169" s="53">
        <v>0</v>
      </c>
      <c r="L169" s="49"/>
      <c r="R169" s="21"/>
      <c r="S169" s="21"/>
    </row>
    <row r="170" spans="1:19" s="48" customFormat="1" x14ac:dyDescent="0.2">
      <c r="A170" s="49">
        <v>9</v>
      </c>
      <c r="B170" s="53"/>
      <c r="C170" s="53">
        <v>0</v>
      </c>
      <c r="D170" s="53">
        <v>0</v>
      </c>
      <c r="E170" s="53">
        <v>0</v>
      </c>
      <c r="F170" s="49"/>
      <c r="G170" s="49">
        <v>9</v>
      </c>
      <c r="H170" s="53"/>
      <c r="I170" s="53">
        <v>0</v>
      </c>
      <c r="J170" s="53">
        <v>0</v>
      </c>
      <c r="K170" s="53">
        <v>0</v>
      </c>
      <c r="L170" s="49"/>
      <c r="R170" s="21"/>
      <c r="S170" s="21"/>
    </row>
    <row r="171" spans="1:19" s="48" customFormat="1" x14ac:dyDescent="0.2">
      <c r="A171" s="49">
        <v>10</v>
      </c>
      <c r="B171" s="53"/>
      <c r="C171" s="53">
        <v>0</v>
      </c>
      <c r="D171" s="53">
        <v>0</v>
      </c>
      <c r="E171" s="53">
        <v>0</v>
      </c>
      <c r="F171" s="49"/>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8CF3F030-0778-40A2-9DBA-605F0FED33B8}">
      <formula1>$C$112:$C$113</formula1>
    </dataValidation>
  </dataValidations>
  <hyperlinks>
    <hyperlink ref="O1:P1" location="Home_page" display="Back to home page" xr:uid="{5782D4DF-6FF0-4CBF-9E8B-3349E067C810}"/>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7B53527C-2554-4C0F-826D-344489EC249A}">
          <x14:colorSeries rgb="FF323232"/>
          <x14:colorNegative rgb="FFD00000"/>
          <x14:colorAxis rgb="FF000000"/>
          <x14:colorMarkers rgb="FFD00000"/>
          <x14:colorFirst rgb="FFD00000"/>
          <x14:colorLast rgb="FFD00000"/>
          <x14:colorHigh rgb="FFD00000"/>
          <x14:colorLow rgb="FFD00000"/>
          <x14:sparklines>
            <x14:sparkline>
              <xm:f>'South West beamers u250kW'!D3:N3</xm:f>
              <xm:sqref>C3</xm:sqref>
            </x14:sparkline>
            <x14:sparkline>
              <xm:f>'South West beamers u250kW'!D4:N4</xm:f>
              <xm:sqref>C4</xm:sqref>
            </x14:sparkline>
            <x14:sparkline>
              <xm:f>'South West beamers u250kW'!D5:N5</xm:f>
              <xm:sqref>C5</xm:sqref>
            </x14:sparkline>
            <x14:sparkline>
              <xm:f>'South West beamers u250kW'!D6:N6</xm:f>
              <xm:sqref>C6</xm:sqref>
            </x14:sparkline>
            <x14:sparkline>
              <xm:f>'South West beamers u250kW'!D7:N7</xm:f>
              <xm:sqref>C7</xm:sqref>
            </x14:sparkline>
            <x14:sparkline>
              <xm:f>'South West beamers u250kW'!D8:N8</xm:f>
              <xm:sqref>C8</xm:sqref>
            </x14:sparkline>
            <x14:sparkline>
              <xm:f>'South West beamers u250kW'!D9:N9</xm:f>
              <xm:sqref>C9</xm:sqref>
            </x14:sparkline>
            <x14:sparkline>
              <xm:f>'South West beamers u250kW'!D10:N10</xm:f>
              <xm:sqref>C10</xm:sqref>
            </x14:sparkline>
            <x14:sparkline>
              <xm:f>'South West beamers u250kW'!D11:N11</xm:f>
              <xm:sqref>C11</xm:sqref>
            </x14:sparkline>
            <x14:sparkline>
              <xm:f>'South West beamers u250kW'!D12:N12</xm:f>
              <xm:sqref>C12</xm:sqref>
            </x14:sparkline>
            <x14:sparkline>
              <xm:f>'South West beamers u250kW'!D13:N13</xm:f>
              <xm:sqref>C13</xm:sqref>
            </x14:sparkline>
            <x14:sparkline>
              <xm:f>'South West beamers u250kW'!D14:N14</xm:f>
              <xm:sqref>C14</xm:sqref>
            </x14:sparkline>
            <x14:sparkline>
              <xm:f>'South West beamers u250kW'!D15:N15</xm:f>
              <xm:sqref>C15</xm:sqref>
            </x14:sparkline>
            <x14:sparkline>
              <xm:f>'South West beamers u250kW'!D16:N16</xm:f>
              <xm:sqref>C16</xm:sqref>
            </x14:sparkline>
            <x14:sparkline>
              <xm:f>'South West beamers u250kW'!D17:N17</xm:f>
              <xm:sqref>C17</xm:sqref>
            </x14:sparkline>
            <x14:sparkline>
              <xm:f>'South West beamers u250kW'!D18:N18</xm:f>
              <xm:sqref>C18</xm:sqref>
            </x14:sparkline>
            <x14:sparkline>
              <xm:f>'South West beamers u250kW'!D19:N19</xm:f>
              <xm:sqref>C19</xm:sqref>
            </x14:sparkline>
            <x14:sparkline>
              <xm:f>'South West beamers u250kW'!D20:N20</xm:f>
              <xm:sqref>C20</xm:sqref>
            </x14:sparkline>
            <x14:sparkline>
              <xm:f>'South West beamers u250kW'!D21:N21</xm:f>
              <xm:sqref>C21</xm:sqref>
            </x14:sparkline>
            <x14:sparkline>
              <xm:f>'South West beamers u250kW'!D22:N22</xm:f>
              <xm:sqref>C22</xm:sqref>
            </x14:sparkline>
            <x14:sparkline>
              <xm:f>'South West beamers u250kW'!D23:N23</xm:f>
              <xm:sqref>C23</xm:sqref>
            </x14:sparkline>
            <x14:sparkline>
              <xm:f>'South West beamers u250kW'!D24:N24</xm:f>
              <xm:sqref>C24</xm:sqref>
            </x14:sparkline>
            <x14:sparkline>
              <xm:f>'South West beamers u250kW'!D25:N25</xm:f>
              <xm:sqref>C25</xm:sqref>
            </x14:sparkline>
            <x14:sparkline>
              <xm:f>'South West beamers u250kW'!D26:N26</xm:f>
              <xm:sqref>C26</xm:sqref>
            </x14:sparkline>
            <x14:sparkline>
              <xm:f>'South West beamers u250kW'!D27:N27</xm:f>
              <xm:sqref>C27</xm:sqref>
            </x14:sparkline>
            <x14:sparkline>
              <xm:f>'South West beamers u250kW'!D28:N28</xm:f>
              <xm:sqref>C28</xm:sqref>
            </x14:sparkline>
            <x14:sparkline>
              <xm:f>'South West beamers u250kW'!D29:N29</xm:f>
              <xm:sqref>C29</xm:sqref>
            </x14:sparkline>
            <x14:sparkline>
              <xm:f>'South West beamers u250kW'!D30:N30</xm:f>
              <xm:sqref>C30</xm:sqref>
            </x14:sparkline>
            <x14:sparkline>
              <xm:f>'South West beamers u250kW'!D31:N31</xm:f>
              <xm:sqref>C31</xm:sqref>
            </x14:sparkline>
            <x14:sparkline>
              <xm:f>'South West beamers u250kW'!D32:N32</xm:f>
              <xm:sqref>C32</xm:sqref>
            </x14:sparkline>
            <x14:sparkline>
              <xm:f>'South West beamers u250kW'!D33:N33</xm:f>
              <xm:sqref>C33</xm:sqref>
            </x14:sparkline>
            <x14:sparkline>
              <xm:f>'South West beamers u250kW'!D34:N34</xm:f>
              <xm:sqref>C34</xm:sqref>
            </x14:sparkline>
            <x14:sparkline>
              <xm:f>'South West beamers u250kW'!D35:N35</xm:f>
              <xm:sqref>C35</xm:sqref>
            </x14:sparkline>
            <x14:sparkline>
              <xm:f>'South West beamers u250kW'!D36:N36</xm:f>
              <xm:sqref>C36</xm:sqref>
            </x14:sparkline>
            <x14:sparkline>
              <xm:f>'South West beamers u250kW'!D37:N37</xm:f>
              <xm:sqref>C37</xm:sqref>
            </x14:sparkline>
            <x14:sparkline>
              <xm:f>'South West beamers u250kW'!D38:N38</xm:f>
              <xm:sqref>C38</xm:sqref>
            </x14:sparkline>
            <x14:sparkline>
              <xm:f>'South West beamers u250kW'!D39:N39</xm:f>
              <xm:sqref>C39</xm:sqref>
            </x14:sparkline>
            <x14:sparkline>
              <xm:f>'South West beamers u250kW'!D40:N40</xm:f>
              <xm:sqref>C40</xm:sqref>
            </x14:sparkline>
            <x14:sparkline>
              <xm:f>'South West beamers u250kW'!D41:N41</xm:f>
              <xm:sqref>C41</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9F489-7F3A-4DC2-8075-6EB1C8A807F3}">
  <sheetPr codeName="Feuil31">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430</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80</v>
      </c>
      <c r="E3" s="28">
        <v>87</v>
      </c>
      <c r="F3" s="28">
        <v>96</v>
      </c>
      <c r="G3" s="28">
        <v>97</v>
      </c>
      <c r="H3" s="28">
        <v>92</v>
      </c>
      <c r="I3" s="28">
        <v>91</v>
      </c>
      <c r="J3" s="28">
        <v>88</v>
      </c>
      <c r="K3" s="28">
        <v>81</v>
      </c>
      <c r="L3" s="28">
        <v>76</v>
      </c>
      <c r="M3" s="28">
        <v>69</v>
      </c>
      <c r="N3" s="28">
        <v>64</v>
      </c>
      <c r="O3" s="29">
        <f t="shared" ref="O3:O41" si="0">IF(N3=0,"",IFERROR(IF(AND(N3&gt;0,D3&lt;0),"na",IF(AND(N3&lt;0,D3&lt;0),-1,1)*(N3-D3)/D3),""))</f>
        <v>-0.2</v>
      </c>
      <c r="P3" s="29">
        <f t="shared" ref="P3:P41" si="1">IF(N3=0,"",IFERROR(IF(AND(N3&gt;0,J3&lt;0),"na",IF(AND(N3&lt;0,J3&lt;0),-1,1)*(N3-J3)/J3),""))</f>
        <v>-0.27272727272727271</v>
      </c>
    </row>
    <row r="4" spans="1:17" ht="18" customHeight="1" x14ac:dyDescent="0.2">
      <c r="A4" s="193"/>
      <c r="B4" s="30" t="s">
        <v>55</v>
      </c>
      <c r="C4" s="31"/>
      <c r="D4" s="31">
        <v>30158</v>
      </c>
      <c r="E4" s="31">
        <v>33757</v>
      </c>
      <c r="F4" s="31">
        <v>37007</v>
      </c>
      <c r="G4" s="31">
        <v>36242</v>
      </c>
      <c r="H4" s="31">
        <v>34642</v>
      </c>
      <c r="I4" s="31">
        <v>33863</v>
      </c>
      <c r="J4" s="31">
        <v>30899</v>
      </c>
      <c r="K4" s="31">
        <v>29356</v>
      </c>
      <c r="L4" s="31">
        <v>28775</v>
      </c>
      <c r="M4" s="31">
        <v>27365</v>
      </c>
      <c r="N4" s="31">
        <v>24615</v>
      </c>
      <c r="O4" s="29">
        <f t="shared" si="0"/>
        <v>-0.18379866038861994</v>
      </c>
      <c r="P4" s="29">
        <f t="shared" si="1"/>
        <v>-0.20337227741998123</v>
      </c>
    </row>
    <row r="5" spans="1:17" ht="18" customHeight="1" x14ac:dyDescent="0.2">
      <c r="A5" s="193"/>
      <c r="B5" s="30" t="s">
        <v>56</v>
      </c>
      <c r="C5" s="31"/>
      <c r="D5" s="31">
        <v>9327</v>
      </c>
      <c r="E5" s="31">
        <v>10610</v>
      </c>
      <c r="F5" s="31">
        <v>11506</v>
      </c>
      <c r="G5" s="31">
        <v>11427</v>
      </c>
      <c r="H5" s="31">
        <v>10902</v>
      </c>
      <c r="I5" s="31">
        <v>10801</v>
      </c>
      <c r="J5" s="31">
        <v>10236</v>
      </c>
      <c r="K5" s="31">
        <v>9824</v>
      </c>
      <c r="L5" s="31">
        <v>9739</v>
      </c>
      <c r="M5" s="31">
        <v>9477</v>
      </c>
      <c r="N5" s="31">
        <v>8772.8896484375</v>
      </c>
      <c r="O5" s="29">
        <f t="shared" si="0"/>
        <v>-5.940927967862121E-2</v>
      </c>
      <c r="P5" s="29">
        <f t="shared" si="1"/>
        <v>-0.14293770531091246</v>
      </c>
      <c r="Q5" s="32"/>
    </row>
    <row r="6" spans="1:17" ht="18" customHeight="1" x14ac:dyDescent="0.2">
      <c r="A6" s="193"/>
      <c r="B6" s="30" t="s">
        <v>57</v>
      </c>
      <c r="C6" s="31"/>
      <c r="D6" s="31">
        <v>25168.23828125</v>
      </c>
      <c r="E6" s="31">
        <v>28108.28515625</v>
      </c>
      <c r="F6" s="31">
        <v>30654.8046875</v>
      </c>
      <c r="G6" s="31">
        <v>30213.130859375</v>
      </c>
      <c r="H6" s="31">
        <v>28842.88671875</v>
      </c>
      <c r="I6" s="31">
        <v>28257.287109375</v>
      </c>
      <c r="J6" s="31">
        <v>26277.767578125</v>
      </c>
      <c r="K6" s="31">
        <v>24687.232421875</v>
      </c>
      <c r="L6" s="31">
        <v>22971.1328125</v>
      </c>
      <c r="M6" s="31">
        <v>21094.025390625</v>
      </c>
      <c r="N6" s="31">
        <v>18799.732421875</v>
      </c>
      <c r="O6" s="29">
        <f t="shared" si="0"/>
        <v>-0.25303741120885093</v>
      </c>
      <c r="P6" s="29">
        <f t="shared" si="1"/>
        <v>-0.28457650118174843</v>
      </c>
    </row>
    <row r="7" spans="1:17" ht="18" customHeight="1" x14ac:dyDescent="0.2">
      <c r="A7" s="193"/>
      <c r="B7" s="30" t="s">
        <v>58</v>
      </c>
      <c r="C7" s="31"/>
      <c r="D7" s="31">
        <v>44938.2734375</v>
      </c>
      <c r="E7" s="31">
        <v>48397.71875</v>
      </c>
      <c r="F7" s="31">
        <v>35850.22265625</v>
      </c>
      <c r="G7" s="31">
        <v>27129.328125</v>
      </c>
      <c r="H7" s="31">
        <v>28151.732421875</v>
      </c>
      <c r="I7" s="31">
        <v>26387.650390625</v>
      </c>
      <c r="J7" s="31">
        <v>20253.9453125</v>
      </c>
      <c r="K7" s="31">
        <v>17611.796875</v>
      </c>
      <c r="L7" s="31">
        <v>18650.982421875</v>
      </c>
      <c r="M7" s="31">
        <v>16795.6796875</v>
      </c>
      <c r="N7" s="31">
        <v>21507.7265625</v>
      </c>
      <c r="O7" s="29">
        <f t="shared" si="0"/>
        <v>-0.5213940163408175</v>
      </c>
      <c r="P7" s="29">
        <f t="shared" si="1"/>
        <v>6.1903062867766888E-2</v>
      </c>
    </row>
    <row r="8" spans="1:17" ht="18" customHeight="1" x14ac:dyDescent="0.2">
      <c r="A8" s="193"/>
      <c r="B8" s="30" t="s">
        <v>59</v>
      </c>
      <c r="C8" s="33"/>
      <c r="D8" s="33">
        <f ca="1">53.86332*OFFSET(D$112,MATCH($N$1,$C$112:$C$113,0)-1,0)</f>
        <v>53.863320000000002</v>
      </c>
      <c r="E8" s="33">
        <f ca="1">54.87186*OFFSET(E$112,MATCH($N$1,$C$112:$C$113,0)-1,0)</f>
        <v>54.871859999999998</v>
      </c>
      <c r="F8" s="33">
        <f ca="1">49.449232*OFFSET(F$112,MATCH($N$1,$C$112:$C$113,0)-1,0)</f>
        <v>49.449232000000002</v>
      </c>
      <c r="G8" s="33">
        <f ca="1">45.51972*OFFSET(G$112,MATCH($N$1,$C$112:$C$113,0)-1,0)</f>
        <v>45.51972</v>
      </c>
      <c r="H8" s="33">
        <f ca="1">46.74046*OFFSET(H$112,MATCH($N$1,$C$112:$C$113,0)-1,0)</f>
        <v>46.740459999999999</v>
      </c>
      <c r="I8" s="33">
        <f ca="1">52.88036*OFFSET(I$112,MATCH($N$1,$C$112:$C$113,0)-1,0)</f>
        <v>52.880360000000003</v>
      </c>
      <c r="J8" s="33">
        <f ca="1">48.324252*OFFSET(J$112,MATCH($N$1,$C$112:$C$113,0)-1,0)</f>
        <v>48.324252000000001</v>
      </c>
      <c r="K8" s="33">
        <f ca="1">44.416896*OFFSET(K$112,MATCH($N$1,$C$112:$C$113,0)-1,0)</f>
        <v>44.416896000000001</v>
      </c>
      <c r="L8" s="33">
        <f ca="1">39.650992*OFFSET(L$112,MATCH($N$1,$C$112:$C$113,0)-1,0)</f>
        <v>39.650992000000002</v>
      </c>
      <c r="M8" s="33">
        <f ca="1">27.426816*OFFSET(M$112,MATCH($N$1,$C$112:$C$113,0)-1,0)</f>
        <v>27.426815999999999</v>
      </c>
      <c r="N8" s="33">
        <v>35.277920000000002</v>
      </c>
      <c r="O8" s="29">
        <f t="shared" ca="1" si="0"/>
        <v>-0.34504742745155698</v>
      </c>
      <c r="P8" s="29">
        <f t="shared" ca="1" si="1"/>
        <v>-0.26997483582363568</v>
      </c>
    </row>
    <row r="9" spans="1:17" ht="18" customHeight="1" x14ac:dyDescent="0.2">
      <c r="A9" s="193"/>
      <c r="B9" s="30" t="s">
        <v>60</v>
      </c>
      <c r="C9" s="31"/>
      <c r="D9" s="31">
        <v>13898</v>
      </c>
      <c r="E9" s="31">
        <v>14947</v>
      </c>
      <c r="F9" s="31">
        <v>16124</v>
      </c>
      <c r="G9" s="31">
        <v>16551</v>
      </c>
      <c r="H9" s="31">
        <v>15953</v>
      </c>
      <c r="I9" s="31">
        <v>16691</v>
      </c>
      <c r="J9" s="31">
        <v>15107</v>
      </c>
      <c r="K9" s="31">
        <v>14057</v>
      </c>
      <c r="L9" s="31">
        <v>12843</v>
      </c>
      <c r="M9" s="31">
        <v>9371</v>
      </c>
      <c r="N9" s="31">
        <v>10935</v>
      </c>
      <c r="O9" s="29">
        <f t="shared" si="0"/>
        <v>-0.21319614332997552</v>
      </c>
      <c r="P9" s="29">
        <f t="shared" si="1"/>
        <v>-0.27616336797511087</v>
      </c>
    </row>
    <row r="10" spans="1:17" ht="18" customHeight="1" x14ac:dyDescent="0.2">
      <c r="A10" s="193"/>
      <c r="B10" s="30" t="s">
        <v>61</v>
      </c>
      <c r="C10" s="31"/>
      <c r="D10" s="31">
        <v>676.28857421875</v>
      </c>
      <c r="E10" s="31">
        <v>692.9017333984375</v>
      </c>
      <c r="F10" s="31">
        <v>424.04812622070313</v>
      </c>
      <c r="G10" s="31">
        <v>466.12692260742188</v>
      </c>
      <c r="H10" s="31">
        <v>587.23883056640625</v>
      </c>
      <c r="I10" s="31">
        <v>586.0509033203125</v>
      </c>
      <c r="J10" s="31">
        <v>381.23297119140625</v>
      </c>
      <c r="K10" s="31">
        <v>333.3729248046875</v>
      </c>
      <c r="L10" s="31">
        <v>308.42703247070313</v>
      </c>
      <c r="M10" s="31">
        <v>303.58639526367188</v>
      </c>
      <c r="N10" s="31">
        <v>365.66571044921875</v>
      </c>
      <c r="O10" s="34">
        <f t="shared" si="0"/>
        <v>-0.45930520729019181</v>
      </c>
      <c r="P10" s="34">
        <f t="shared" si="1"/>
        <v>-4.0833983203335318E-2</v>
      </c>
    </row>
    <row r="11" spans="1:17" ht="18" customHeight="1" x14ac:dyDescent="0.2">
      <c r="A11" s="194" t="s">
        <v>27</v>
      </c>
      <c r="B11" s="35" t="s">
        <v>62</v>
      </c>
      <c r="C11" s="36"/>
      <c r="D11" s="36">
        <v>22.119125366210938</v>
      </c>
      <c r="E11" s="36">
        <v>22.542413711547852</v>
      </c>
      <c r="F11" s="36">
        <v>22.358959197998047</v>
      </c>
      <c r="G11" s="36">
        <v>22.184123992919922</v>
      </c>
      <c r="H11" s="36">
        <v>22.185869216918945</v>
      </c>
      <c r="I11" s="36">
        <v>22.060989379882813</v>
      </c>
      <c r="J11" s="36">
        <v>21.480682373046875</v>
      </c>
      <c r="K11" s="36">
        <v>21.669382095336914</v>
      </c>
      <c r="L11" s="36">
        <v>22.073158264160156</v>
      </c>
      <c r="M11" s="36">
        <v>22.575508117675781</v>
      </c>
      <c r="N11" s="36">
        <v>22.32421875</v>
      </c>
      <c r="O11" s="29">
        <f t="shared" si="0"/>
        <v>9.2722194206811669E-3</v>
      </c>
      <c r="P11" s="29">
        <f t="shared" si="1"/>
        <v>3.9269533541986618E-2</v>
      </c>
    </row>
    <row r="12" spans="1:17" ht="18" customHeight="1" x14ac:dyDescent="0.2">
      <c r="A12" s="195"/>
      <c r="B12" s="37" t="s">
        <v>55</v>
      </c>
      <c r="C12" s="31"/>
      <c r="D12" s="31">
        <v>376.97500610351563</v>
      </c>
      <c r="E12" s="31">
        <v>388.01150512695313</v>
      </c>
      <c r="F12" s="31">
        <v>385.48959350585938</v>
      </c>
      <c r="G12" s="31">
        <v>373.62887573242188</v>
      </c>
      <c r="H12" s="31">
        <v>376.54348754882813</v>
      </c>
      <c r="I12" s="31">
        <v>372.12088012695313</v>
      </c>
      <c r="J12" s="31">
        <v>351.125</v>
      </c>
      <c r="K12" s="31">
        <v>362.41973876953125</v>
      </c>
      <c r="L12" s="31">
        <v>378.618408203125</v>
      </c>
      <c r="M12" s="31">
        <v>396.59420776367188</v>
      </c>
      <c r="N12" s="31">
        <v>384.609375</v>
      </c>
      <c r="O12" s="29">
        <f t="shared" si="0"/>
        <v>2.0251657995564862E-2</v>
      </c>
      <c r="P12" s="29">
        <f t="shared" si="1"/>
        <v>9.5363118547525813E-2</v>
      </c>
    </row>
    <row r="13" spans="1:17" ht="18" customHeight="1" x14ac:dyDescent="0.2">
      <c r="A13" s="195"/>
      <c r="B13" s="37" t="s">
        <v>56</v>
      </c>
      <c r="C13" s="31"/>
      <c r="D13" s="31">
        <v>116.58750152587891</v>
      </c>
      <c r="E13" s="31">
        <v>121.95402526855469</v>
      </c>
      <c r="F13" s="31">
        <v>119.85416412353516</v>
      </c>
      <c r="G13" s="31">
        <v>117.80412292480469</v>
      </c>
      <c r="H13" s="31">
        <v>118.5</v>
      </c>
      <c r="I13" s="31">
        <v>118.69230651855469</v>
      </c>
      <c r="J13" s="31">
        <v>116.31818389892578</v>
      </c>
      <c r="K13" s="31">
        <v>121.28395080566406</v>
      </c>
      <c r="L13" s="31">
        <v>128.14472961425781</v>
      </c>
      <c r="M13" s="31">
        <v>137.34782409667969</v>
      </c>
      <c r="N13" s="31">
        <v>137.07640075683594</v>
      </c>
      <c r="O13" s="29">
        <f t="shared" si="0"/>
        <v>0.17573838501384401</v>
      </c>
      <c r="P13" s="29">
        <f t="shared" si="1"/>
        <v>0.17846063411674246</v>
      </c>
    </row>
    <row r="14" spans="1:17" ht="18" customHeight="1" x14ac:dyDescent="0.2">
      <c r="A14" s="195"/>
      <c r="B14" s="37" t="s">
        <v>57</v>
      </c>
      <c r="C14" s="31"/>
      <c r="D14" s="31">
        <v>314.60296630859375</v>
      </c>
      <c r="E14" s="31">
        <v>323.083740234375</v>
      </c>
      <c r="F14" s="31">
        <v>319.32089233398438</v>
      </c>
      <c r="G14" s="31">
        <v>311.47555541992188</v>
      </c>
      <c r="H14" s="31">
        <v>313.5096435546875</v>
      </c>
      <c r="I14" s="31">
        <v>310.51962280273438</v>
      </c>
      <c r="J14" s="31">
        <v>298.61099243164063</v>
      </c>
      <c r="K14" s="31">
        <v>304.7806396484375</v>
      </c>
      <c r="L14" s="31">
        <v>310.42071533203125</v>
      </c>
      <c r="M14" s="31">
        <v>319.6064453125</v>
      </c>
      <c r="N14" s="31">
        <v>313.32888793945313</v>
      </c>
      <c r="O14" s="29">
        <f t="shared" si="0"/>
        <v>-4.0497976992717949E-3</v>
      </c>
      <c r="P14" s="29">
        <f t="shared" si="1"/>
        <v>4.9287855708064023E-2</v>
      </c>
    </row>
    <row r="15" spans="1:17" ht="18" customHeight="1" x14ac:dyDescent="0.2">
      <c r="A15" s="195"/>
      <c r="B15" s="37" t="s">
        <v>58</v>
      </c>
      <c r="C15" s="33"/>
      <c r="D15" s="33">
        <v>561.7283935546875</v>
      </c>
      <c r="E15" s="33">
        <v>556.295654296875</v>
      </c>
      <c r="F15" s="33">
        <v>373.4398193359375</v>
      </c>
      <c r="G15" s="33">
        <v>279.68380737304688</v>
      </c>
      <c r="H15" s="33">
        <v>305.9970703125</v>
      </c>
      <c r="I15" s="33">
        <v>289.97418212890625</v>
      </c>
      <c r="J15" s="33">
        <v>230.15847778320313</v>
      </c>
      <c r="K15" s="33">
        <v>217.42959594726563</v>
      </c>
      <c r="L15" s="33">
        <v>245.40766906738281</v>
      </c>
      <c r="M15" s="33">
        <v>243.41566467285156</v>
      </c>
      <c r="N15" s="33">
        <v>336.0582275390625</v>
      </c>
      <c r="O15" s="29">
        <f t="shared" si="0"/>
        <v>-0.40174249442431775</v>
      </c>
      <c r="P15" s="29">
        <f t="shared" si="1"/>
        <v>0.46011665864253426</v>
      </c>
    </row>
    <row r="16" spans="1:17" ht="18" customHeight="1" x14ac:dyDescent="0.2">
      <c r="A16" s="195"/>
      <c r="B16" s="37" t="s">
        <v>63</v>
      </c>
      <c r="C16" s="33"/>
      <c r="D16" s="33">
        <f ca="1">673.2915*OFFSET(D$112,MATCH($N$1,$C$112:$C$113,0)-1,0)</f>
        <v>673.29150000000004</v>
      </c>
      <c r="E16" s="33">
        <f ca="1">630.7110625*OFFSET(E$112,MATCH($N$1,$C$112:$C$113,0)-1,0)</f>
        <v>630.71106250000003</v>
      </c>
      <c r="F16" s="33">
        <f ca="1">515.09615625*OFFSET(F$112,MATCH($N$1,$C$112:$C$113,0)-1,0)</f>
        <v>515.09615625000004</v>
      </c>
      <c r="G16" s="33">
        <f ca="1">469.27546875*OFFSET(G$112,MATCH($N$1,$C$112:$C$113,0)-1,0)</f>
        <v>469.27546875000002</v>
      </c>
      <c r="H16" s="33">
        <f ca="1">508.0485*OFFSET(H$112,MATCH($N$1,$C$112:$C$113,0)-1,0)</f>
        <v>508.04849999999999</v>
      </c>
      <c r="I16" s="33">
        <f ca="1">581.102875*OFFSET(I$112,MATCH($N$1,$C$112:$C$113,0)-1,0)</f>
        <v>581.10287500000004</v>
      </c>
      <c r="J16" s="33">
        <f ca="1">549.13925*OFFSET(J$112,MATCH($N$1,$C$112:$C$113,0)-1,0)</f>
        <v>549.13924999999995</v>
      </c>
      <c r="K16" s="33">
        <f ca="1">548.35675*OFFSET(K$112,MATCH($N$1,$C$112:$C$113,0)-1,0)</f>
        <v>548.35675000000003</v>
      </c>
      <c r="L16" s="33">
        <f ca="1">521.72359375*OFFSET(L$112,MATCH($N$1,$C$112:$C$113,0)-1,0)</f>
        <v>521.72359374999996</v>
      </c>
      <c r="M16" s="33">
        <f ca="1">397.49009375*OFFSET(M$112,MATCH($N$1,$C$112:$C$113,0)-1,0)</f>
        <v>397.49009375000003</v>
      </c>
      <c r="N16" s="33">
        <v>551.21749999999997</v>
      </c>
      <c r="O16" s="29">
        <f t="shared" ca="1" si="0"/>
        <v>-0.18130928431444637</v>
      </c>
      <c r="P16" s="29">
        <f t="shared" ca="1" si="1"/>
        <v>3.7845591987825051E-3</v>
      </c>
    </row>
    <row r="17" spans="1:16" ht="18" customHeight="1" x14ac:dyDescent="0.2">
      <c r="A17" s="195"/>
      <c r="B17" s="37" t="s">
        <v>60</v>
      </c>
      <c r="C17" s="31"/>
      <c r="D17" s="31">
        <v>173.72500610351563</v>
      </c>
      <c r="E17" s="31">
        <v>171.80459594726563</v>
      </c>
      <c r="F17" s="31">
        <v>167.95832824707031</v>
      </c>
      <c r="G17" s="31">
        <v>170.62886047363281</v>
      </c>
      <c r="H17" s="31">
        <v>173.40217590332031</v>
      </c>
      <c r="I17" s="31">
        <v>183.41758728027344</v>
      </c>
      <c r="J17" s="31">
        <v>171.67045593261719</v>
      </c>
      <c r="K17" s="31">
        <v>173.543212890625</v>
      </c>
      <c r="L17" s="31">
        <v>168.98684692382813</v>
      </c>
      <c r="M17" s="31">
        <v>135.81159973144531</v>
      </c>
      <c r="N17" s="31">
        <v>170.859375</v>
      </c>
      <c r="O17" s="29">
        <f t="shared" si="0"/>
        <v>-1.6495213716142352E-2</v>
      </c>
      <c r="P17" s="29">
        <f t="shared" si="1"/>
        <v>-4.7246390079813553E-3</v>
      </c>
    </row>
    <row r="18" spans="1:16" ht="18" customHeight="1" x14ac:dyDescent="0.2">
      <c r="A18" s="195"/>
      <c r="B18" s="37" t="s">
        <v>64</v>
      </c>
      <c r="C18" s="31"/>
      <c r="D18" s="31">
        <v>33.237499237060547</v>
      </c>
      <c r="E18" s="31">
        <v>34.149425506591797</v>
      </c>
      <c r="F18" s="31">
        <v>34.96875</v>
      </c>
      <c r="G18" s="31">
        <v>35.927833557128906</v>
      </c>
      <c r="H18" s="31">
        <v>36.282608032226563</v>
      </c>
      <c r="I18" s="31">
        <v>36.945053100585938</v>
      </c>
      <c r="J18" s="31">
        <v>37.261363983154297</v>
      </c>
      <c r="K18" s="31">
        <v>36.481479644775391</v>
      </c>
      <c r="L18" s="31">
        <v>36.756755828857422</v>
      </c>
      <c r="M18" s="31">
        <v>37.242424011230469</v>
      </c>
      <c r="N18" s="31">
        <v>36.950000762939453</v>
      </c>
      <c r="O18" s="29">
        <f t="shared" si="0"/>
        <v>0.11169617483554192</v>
      </c>
      <c r="P18" s="29">
        <f t="shared" si="1"/>
        <v>-8.3561949142712463E-3</v>
      </c>
    </row>
    <row r="19" spans="1:16" ht="18" customHeight="1" x14ac:dyDescent="0.2">
      <c r="A19" s="195"/>
      <c r="B19" s="37" t="s">
        <v>65</v>
      </c>
      <c r="C19" s="38"/>
      <c r="D19" s="38">
        <v>3.2334342002868652</v>
      </c>
      <c r="E19" s="38">
        <v>3.2379555702209473</v>
      </c>
      <c r="F19" s="38">
        <v>2.223407506942749</v>
      </c>
      <c r="G19" s="38">
        <v>1.6391353607177734</v>
      </c>
      <c r="H19" s="38">
        <v>1.7646667957305908</v>
      </c>
      <c r="I19" s="38">
        <v>1.5809508562088013</v>
      </c>
      <c r="J19" s="38">
        <v>1.3406994342803955</v>
      </c>
      <c r="K19" s="38">
        <v>1.2528845071792603</v>
      </c>
      <c r="L19" s="38">
        <v>1.452229380607605</v>
      </c>
      <c r="M19" s="38">
        <v>1.7923039197921753</v>
      </c>
      <c r="N19" s="38">
        <v>1.9668703079223633</v>
      </c>
      <c r="O19" s="29">
        <f t="shared" si="0"/>
        <v>-0.39170857172604112</v>
      </c>
      <c r="P19" s="29">
        <f t="shared" si="1"/>
        <v>0.46704791367205845</v>
      </c>
    </row>
    <row r="20" spans="1:16" ht="18" customHeight="1" x14ac:dyDescent="0.2">
      <c r="A20" s="196"/>
      <c r="B20" s="39" t="s">
        <v>28</v>
      </c>
      <c r="C20" s="40"/>
      <c r="D20" s="40">
        <f ca="1">1199*OFFSET(D$112,MATCH($N$1,$C$112:$C$113,0)-1,0)</f>
        <v>1199</v>
      </c>
      <c r="E20" s="40">
        <f ca="1">1134*OFFSET(E$112,MATCH($N$1,$C$112:$C$113,0)-1,0)</f>
        <v>1134</v>
      </c>
      <c r="F20" s="40">
        <f ca="1">1379*OFFSET(F$112,MATCH($N$1,$C$112:$C$113,0)-1,0)</f>
        <v>1379</v>
      </c>
      <c r="G20" s="40">
        <f ca="1">1678*OFFSET(G$112,MATCH($N$1,$C$112:$C$113,0)-1,0)</f>
        <v>1678</v>
      </c>
      <c r="H20" s="40">
        <f ca="1">1660*OFFSET(H$112,MATCH($N$1,$C$112:$C$113,0)-1,0)</f>
        <v>1660</v>
      </c>
      <c r="I20" s="40">
        <f ca="1">2004*OFFSET(I$112,MATCH($N$1,$C$112:$C$113,0)-1,0)</f>
        <v>2004</v>
      </c>
      <c r="J20" s="40">
        <f ca="1">2386*OFFSET(J$112,MATCH($N$1,$C$112:$C$113,0)-1,0)</f>
        <v>2386</v>
      </c>
      <c r="K20" s="40">
        <f ca="1">2522*OFFSET(K$112,MATCH($N$1,$C$112:$C$113,0)-1,0)</f>
        <v>2522</v>
      </c>
      <c r="L20" s="40">
        <f ca="1">2126*OFFSET(L$112,MATCH($N$1,$C$112:$C$113,0)-1,0)</f>
        <v>2126</v>
      </c>
      <c r="M20" s="40">
        <f ca="1">1633*OFFSET(M$112,MATCH($N$1,$C$112:$C$113,0)-1,0)</f>
        <v>1633</v>
      </c>
      <c r="N20" s="40">
        <v>1640</v>
      </c>
      <c r="O20" s="34">
        <f t="shared" ca="1" si="0"/>
        <v>0.36780650542118432</v>
      </c>
      <c r="P20" s="34">
        <f t="shared" ca="1" si="1"/>
        <v>-0.31265716680637051</v>
      </c>
    </row>
    <row r="21" spans="1:16" ht="18" customHeight="1" x14ac:dyDescent="0.2">
      <c r="A21" s="197" t="s">
        <v>29</v>
      </c>
      <c r="B21" s="35" t="s">
        <v>66</v>
      </c>
      <c r="C21" s="41"/>
      <c r="D21" s="41">
        <v>7.7312373805038961</v>
      </c>
      <c r="E21" s="41">
        <v>7.7030880411259215</v>
      </c>
      <c r="F21" s="41">
        <v>5.2875592330166423</v>
      </c>
      <c r="G21" s="41">
        <v>4.0658175216277659</v>
      </c>
      <c r="H21" s="41">
        <v>4.2058223622219728</v>
      </c>
      <c r="I21" s="41">
        <v>3.8946911967839917</v>
      </c>
      <c r="J21" s="41">
        <v>3.4236551076523414</v>
      </c>
      <c r="K21" s="41">
        <v>3.1436624503306545</v>
      </c>
      <c r="L21" s="41">
        <v>3.4968607963811729</v>
      </c>
      <c r="M21" s="41">
        <v>4.1249343774914333</v>
      </c>
      <c r="N21" s="41">
        <v>4.5658679754678069</v>
      </c>
      <c r="O21" s="29">
        <f t="shared" si="0"/>
        <v>-0.40942597533200836</v>
      </c>
      <c r="P21" s="29">
        <f t="shared" si="1"/>
        <v>0.33362381194953378</v>
      </c>
    </row>
    <row r="22" spans="1:16" ht="18" customHeight="1" x14ac:dyDescent="0.2">
      <c r="A22" s="197"/>
      <c r="B22" s="37" t="s">
        <v>67</v>
      </c>
      <c r="C22" s="38"/>
      <c r="D22" s="38">
        <f ca="1">9.26671407837383*OFFSET(D$112,MATCH($N$1,$C$112:$C$113,0)-1,0)</f>
        <v>9.2667140783738304</v>
      </c>
      <c r="E22" s="38">
        <f ca="1">8.73352650775303*OFFSET(E$112,MATCH($N$1,$C$112:$C$113,0)-1,0)</f>
        <v>8.7335265077530302</v>
      </c>
      <c r="F22" s="38">
        <f ca="1">7.2932807265017*OFFSET(F$112,MATCH($N$1,$C$112:$C$113,0)-1,0)</f>
        <v>7.2932807265016999</v>
      </c>
      <c r="G22" s="38">
        <f ca="1">6.82194811789346*OFFSET(G$112,MATCH($N$1,$C$112:$C$113,0)-1,0)</f>
        <v>6.8219481178934602</v>
      </c>
      <c r="H22" s="38">
        <f ca="1">6.98294836682965*OFFSET(H$112,MATCH($N$1,$C$112:$C$113,0)-1,0)</f>
        <v>6.9829483668296497</v>
      </c>
      <c r="I22" s="38">
        <f ca="1">7.804888818282*OFFSET(I$112,MATCH($N$1,$C$112:$C$113,0)-1,0)</f>
        <v>7.8048888182820004</v>
      </c>
      <c r="J22" s="38">
        <f ca="1">8.1685602728299*OFFSET(J$112,MATCH($N$1,$C$112:$C$113,0)-1,0)</f>
        <v>8.1685602728299003</v>
      </c>
      <c r="K22" s="38">
        <f ca="1">7.92830670935179*OFFSET(K$112,MATCH($N$1,$C$112:$C$113,0)-1,0)</f>
        <v>7.9283067093517898</v>
      </c>
      <c r="L22" s="38">
        <f ca="1">7.43413923641701*OFFSET(L$112,MATCH($N$1,$C$112:$C$113,0)-1,0)</f>
        <v>7.4341392364170096</v>
      </c>
      <c r="M22" s="38">
        <f ca="1">6.73588757989468*OFFSET(M$112,MATCH($N$1,$C$112:$C$113,0)-1,0)</f>
        <v>6.7358875798946798</v>
      </c>
      <c r="N22" s="38">
        <v>7.489137668783548</v>
      </c>
      <c r="O22" s="29">
        <f t="shared" ca="1" si="0"/>
        <v>-0.19182381095999246</v>
      </c>
      <c r="P22" s="29">
        <f t="shared" ca="1" si="1"/>
        <v>-8.3175318704109213E-2</v>
      </c>
    </row>
    <row r="23" spans="1:16" ht="18" customHeight="1" x14ac:dyDescent="0.2">
      <c r="A23" s="197"/>
      <c r="B23" s="37" t="s">
        <v>11</v>
      </c>
      <c r="C23" s="38"/>
      <c r="D23" s="38">
        <f ca="1">7.11634145176382*OFFSET(D$112,MATCH($N$1,$C$112:$C$113,0)-1,0)</f>
        <v>7.1163414517638204</v>
      </c>
      <c r="E23" s="38">
        <f ca="1">6.93059517969061*OFFSET(E$112,MATCH($N$1,$C$112:$C$113,0)-1,0)</f>
        <v>6.9305951796906102</v>
      </c>
      <c r="F23" s="38">
        <f ca="1">6.06125884167332*OFFSET(F$112,MATCH($N$1,$C$112:$C$113,0)-1,0)</f>
        <v>6.06125884167332</v>
      </c>
      <c r="G23" s="38">
        <f ca="1">5.80647404952027*OFFSET(G$112,MATCH($N$1,$C$112:$C$113,0)-1,0)</f>
        <v>5.8064740495202702</v>
      </c>
      <c r="H23" s="38">
        <f ca="1">5.75106624383974*OFFSET(H$112,MATCH($N$1,$C$112:$C$113,0)-1,0)</f>
        <v>5.7510662438397402</v>
      </c>
      <c r="I23" s="38">
        <f ca="1">6.81550348533495*OFFSET(I$112,MATCH($N$1,$C$112:$C$113,0)-1,0)</f>
        <v>6.8155034853349497</v>
      </c>
      <c r="J23" s="38">
        <f ca="1">6.8389431362655*OFFSET(J$112,MATCH($N$1,$C$112:$C$113,0)-1,0)</f>
        <v>6.8389431362654998</v>
      </c>
      <c r="K23" s="38">
        <f ca="1">7.85848742060077*OFFSET(K$112,MATCH($N$1,$C$112:$C$113,0)-1,0)</f>
        <v>7.8584874206007704</v>
      </c>
      <c r="L23" s="38">
        <f ca="1">6.45983939213396*OFFSET(L$112,MATCH($N$1,$C$112:$C$113,0)-1,0)</f>
        <v>6.4598393921339596</v>
      </c>
      <c r="M23" s="38">
        <f ca="1">6.12771653148219*OFFSET(M$112,MATCH($N$1,$C$112:$C$113,0)-1,0)</f>
        <v>6.1277165314821902</v>
      </c>
      <c r="N23" s="38">
        <v>6.2573791355352721</v>
      </c>
      <c r="O23" s="29">
        <f t="shared" ca="1" si="0"/>
        <v>-0.12070279680237241</v>
      </c>
      <c r="P23" s="29">
        <f t="shared" ca="1" si="1"/>
        <v>-8.5037115990380746E-2</v>
      </c>
    </row>
    <row r="24" spans="1:16" ht="18" customHeight="1" x14ac:dyDescent="0.2">
      <c r="A24" s="197"/>
      <c r="B24" s="37" t="s">
        <v>12</v>
      </c>
      <c r="C24" s="38"/>
      <c r="D24" s="38">
        <f ca="1">2.25076305680351*OFFSET(D$112,MATCH($N$1,$C$112:$C$113,0)-1,0)</f>
        <v>2.25076305680351</v>
      </c>
      <c r="E24" s="38">
        <f ca="1">1.94759733681098*OFFSET(E$112,MATCH($N$1,$C$112:$C$113,0)-1,0)</f>
        <v>1.94759733681098</v>
      </c>
      <c r="F24" s="38">
        <f ca="1">1.30480709156845*OFFSET(F$112,MATCH($N$1,$C$112:$C$113,0)-1,0)</f>
        <v>1.30480709156845</v>
      </c>
      <c r="G24" s="38">
        <f ca="1">1.07906802054878*OFFSET(G$112,MATCH($N$1,$C$112:$C$113,0)-1,0)</f>
        <v>1.0790680205487799</v>
      </c>
      <c r="H24" s="38">
        <f ca="1">1.3456621404177*OFFSET(H$112,MATCH($N$1,$C$112:$C$113,0)-1,0)</f>
        <v>1.3456621404177</v>
      </c>
      <c r="I24" s="38">
        <f ca="1">1.02437252848194*OFFSET(I$112,MATCH($N$1,$C$112:$C$113,0)-1,0)</f>
        <v>1.02437252848194</v>
      </c>
      <c r="J24" s="38">
        <f ca="1">1.64584466889996*OFFSET(J$112,MATCH($N$1,$C$112:$C$113,0)-1,0)</f>
        <v>1.64584466889996</v>
      </c>
      <c r="K24" s="38">
        <f ca="1">0.247011508807251*OFFSET(K$112,MATCH($N$1,$C$112:$C$113,0)-1,0)</f>
        <v>0.24701150880725101</v>
      </c>
      <c r="L24" s="38">
        <f ca="1">1.16572777855332*OFFSET(L$112,MATCH($N$1,$C$112:$C$113,0)-1,0)</f>
        <v>1.16572777855332</v>
      </c>
      <c r="M24" s="38">
        <f ca="1">1.00748949278615*OFFSET(M$112,MATCH($N$1,$C$112:$C$113,0)-1,0)</f>
        <v>1.00748949278615</v>
      </c>
      <c r="N24" s="38">
        <v>1.4886838996336942</v>
      </c>
      <c r="O24" s="29">
        <f t="shared" ca="1" si="0"/>
        <v>-0.33858702046234301</v>
      </c>
      <c r="P24" s="29">
        <f t="shared" ca="1" si="1"/>
        <v>-9.5489429978412213E-2</v>
      </c>
    </row>
    <row r="25" spans="1:16" ht="18" customHeight="1" x14ac:dyDescent="0.2">
      <c r="A25" s="197"/>
      <c r="B25" s="37" t="s">
        <v>68</v>
      </c>
      <c r="C25" s="33"/>
      <c r="D25" s="33">
        <f ca="1">79.65*OFFSET(D$112,MATCH($N$1,$C$112:$C$113,0)-1,0)</f>
        <v>79.650000000000006</v>
      </c>
      <c r="E25" s="33">
        <f ca="1">79.19*OFFSET(E$112,MATCH($N$1,$C$112:$C$113,0)-1,0)</f>
        <v>79.19</v>
      </c>
      <c r="F25" s="33">
        <f ca="1">116.61*OFFSET(F$112,MATCH($N$1,$C$112:$C$113,0)-1,0)</f>
        <v>116.61</v>
      </c>
      <c r="G25" s="33">
        <f ca="1">97.66*OFFSET(G$112,MATCH($N$1,$C$112:$C$113,0)-1,0)</f>
        <v>97.66</v>
      </c>
      <c r="H25" s="33">
        <f ca="1">79.59*OFFSET(H$112,MATCH($N$1,$C$112:$C$113,0)-1,0)</f>
        <v>79.59</v>
      </c>
      <c r="I25" s="33">
        <f ca="1">90.23*OFFSET(I$112,MATCH($N$1,$C$112:$C$113,0)-1,0)</f>
        <v>90.23</v>
      </c>
      <c r="J25" s="33">
        <f ca="1">126.75*OFFSET(J$112,MATCH($N$1,$C$112:$C$113,0)-1,0)</f>
        <v>126.75</v>
      </c>
      <c r="K25" s="33">
        <f ca="1">133.25*OFFSET(K$112,MATCH($N$1,$C$112:$C$113,0)-1,0)</f>
        <v>133.25</v>
      </c>
      <c r="L25" s="33">
        <f ca="1">128.55*OFFSET(L$112,MATCH($N$1,$C$112:$C$113,0)-1,0)</f>
        <v>128.55000000000001</v>
      </c>
      <c r="M25" s="33">
        <f ca="1">90.34*OFFSET(M$112,MATCH($N$1,$C$112:$C$113,0)-1,0)</f>
        <v>90.34</v>
      </c>
      <c r="N25" s="33">
        <v>96.47</v>
      </c>
      <c r="O25" s="29">
        <f t="shared" ca="1" si="0"/>
        <v>0.21117388575015683</v>
      </c>
      <c r="P25" s="29">
        <f t="shared" ca="1" si="1"/>
        <v>-0.23889546351084814</v>
      </c>
    </row>
    <row r="26" spans="1:16" ht="18" customHeight="1" x14ac:dyDescent="0.2">
      <c r="A26" s="198"/>
      <c r="B26" s="37" t="s">
        <v>69</v>
      </c>
      <c r="C26" s="33"/>
      <c r="D26" s="33">
        <f ca="1">19.34*OFFSET(D$112,MATCH($N$1,$C$112:$C$113,0)-1,0)</f>
        <v>19.34</v>
      </c>
      <c r="E26" s="33">
        <f ca="1">17.67*OFFSET(E$112,MATCH($N$1,$C$112:$C$113,0)-1,0)</f>
        <v>17.670000000000002</v>
      </c>
      <c r="F26" s="33">
        <f ca="1">20.87*OFFSET(F$112,MATCH($N$1,$C$112:$C$113,0)-1,0)</f>
        <v>20.87</v>
      </c>
      <c r="G26" s="33">
        <f ca="1">15.44*OFFSET(G$112,MATCH($N$1,$C$112:$C$113,0)-1,0)</f>
        <v>15.44</v>
      </c>
      <c r="H26" s="33">
        <f ca="1">15.34*OFFSET(H$112,MATCH($N$1,$C$112:$C$113,0)-1,0)</f>
        <v>15.34</v>
      </c>
      <c r="I26" s="33">
        <f ca="1">11.85*OFFSET(I$112,MATCH($N$1,$C$112:$C$113,0)-1,0)</f>
        <v>11.85</v>
      </c>
      <c r="J26" s="33">
        <f ca="1">25.53*OFFSET(J$112,MATCH($N$1,$C$112:$C$113,0)-1,0)</f>
        <v>25.53</v>
      </c>
      <c r="K26" s="33">
        <f ca="1">4.15*OFFSET(K$112,MATCH($N$1,$C$112:$C$113,0)-1,0)</f>
        <v>4.1500000000000004</v>
      </c>
      <c r="L26" s="33">
        <f ca="1">20.16*OFFSET(L$112,MATCH($N$1,$C$112:$C$113,0)-1,0)</f>
        <v>20.16</v>
      </c>
      <c r="M26" s="33">
        <f ca="1">13.52*OFFSET(M$112,MATCH($N$1,$C$112:$C$113,0)-1,0)</f>
        <v>13.52</v>
      </c>
      <c r="N26" s="33">
        <v>19.18</v>
      </c>
      <c r="O26" s="34">
        <f t="shared" ca="1" si="0"/>
        <v>-8.2730093071354781E-3</v>
      </c>
      <c r="P26" s="34">
        <f t="shared" ca="1" si="1"/>
        <v>-0.24872698785742267</v>
      </c>
    </row>
    <row r="27" spans="1:16" ht="18" customHeight="1" x14ac:dyDescent="0.2">
      <c r="A27" s="187" t="s">
        <v>30</v>
      </c>
      <c r="B27" s="35" t="s">
        <v>63</v>
      </c>
      <c r="C27" s="36"/>
      <c r="D27" s="36">
        <f ca="1">673.3*OFFSET(D$112,MATCH($N$1,$C$112:$C$113,0)-1,0)</f>
        <v>673.3</v>
      </c>
      <c r="E27" s="36">
        <f ca="1">630.7*OFFSET(E$112,MATCH($N$1,$C$112:$C$113,0)-1,0)</f>
        <v>630.70000000000005</v>
      </c>
      <c r="F27" s="36">
        <f ca="1">515.1*OFFSET(F$112,MATCH($N$1,$C$112:$C$113,0)-1,0)</f>
        <v>515.1</v>
      </c>
      <c r="G27" s="36">
        <f ca="1">469.3*OFFSET(G$112,MATCH($N$1,$C$112:$C$113,0)-1,0)</f>
        <v>469.3</v>
      </c>
      <c r="H27" s="36">
        <f ca="1">508*OFFSET(H$112,MATCH($N$1,$C$112:$C$113,0)-1,0)</f>
        <v>508</v>
      </c>
      <c r="I27" s="36">
        <f ca="1">581.1*OFFSET(I$112,MATCH($N$1,$C$112:$C$113,0)-1,0)</f>
        <v>581.1</v>
      </c>
      <c r="J27" s="36">
        <f ca="1">549.1*OFFSET(J$112,MATCH($N$1,$C$112:$C$113,0)-1,0)</f>
        <v>549.1</v>
      </c>
      <c r="K27" s="36">
        <f ca="1">548.4*OFFSET(K$112,MATCH($N$1,$C$112:$C$113,0)-1,0)</f>
        <v>548.4</v>
      </c>
      <c r="L27" s="36">
        <f ca="1">521.7*OFFSET(L$112,MATCH($N$1,$C$112:$C$113,0)-1,0)</f>
        <v>521.70000000000005</v>
      </c>
      <c r="M27" s="36">
        <f ca="1">397.5*OFFSET(M$112,MATCH($N$1,$C$112:$C$113,0)-1,0)</f>
        <v>397.5</v>
      </c>
      <c r="N27" s="36">
        <v>551.20000000000005</v>
      </c>
      <c r="O27" s="29">
        <f t="shared" ca="1" si="0"/>
        <v>-0.18134561116886963</v>
      </c>
      <c r="P27" s="29">
        <f t="shared" ca="1" si="1"/>
        <v>3.8244399927153936E-3</v>
      </c>
    </row>
    <row r="28" spans="1:16" ht="18" customHeight="1" x14ac:dyDescent="0.2">
      <c r="A28" s="199"/>
      <c r="B28" s="37" t="s">
        <v>70</v>
      </c>
      <c r="C28" s="33"/>
      <c r="D28" s="33">
        <f ca="1">7.3*OFFSET(D$112,MATCH($N$1,$C$112:$C$113,0)-1,0)</f>
        <v>7.3</v>
      </c>
      <c r="E28" s="33">
        <f ca="1">10.4*OFFSET(E$112,MATCH($N$1,$C$112:$C$113,0)-1,0)</f>
        <v>10.4</v>
      </c>
      <c r="F28" s="33">
        <f ca="1">5.1*OFFSET(F$112,MATCH($N$1,$C$112:$C$113,0)-1,0)</f>
        <v>5.0999999999999996</v>
      </c>
      <c r="G28" s="33">
        <f ca="1">4.4*OFFSET(G$112,MATCH($N$1,$C$112:$C$113,0)-1,0)</f>
        <v>4.4000000000000004</v>
      </c>
      <c r="H28" s="33">
        <f ca="1">8.3*OFFSET(H$112,MATCH($N$1,$C$112:$C$113,0)-1,0)</f>
        <v>8.3000000000000007</v>
      </c>
      <c r="I28" s="33">
        <f ca="1">2.6*OFFSET(I$112,MATCH($N$1,$C$112:$C$113,0)-1,0)</f>
        <v>2.6</v>
      </c>
      <c r="J28" s="33">
        <f ca="1">21.3*OFFSET(J$112,MATCH($N$1,$C$112:$C$113,0)-1,0)</f>
        <v>21.3</v>
      </c>
      <c r="K28" s="33">
        <f ca="1">12.3*OFFSET(K$112,MATCH($N$1,$C$112:$C$113,0)-1,0)</f>
        <v>12.3</v>
      </c>
      <c r="L28" s="33">
        <f ca="1">13.4*OFFSET(L$112,MATCH($N$1,$C$112:$C$113,0)-1,0)</f>
        <v>13.4</v>
      </c>
      <c r="M28" s="33">
        <f ca="1">23.6*OFFSET(M$112,MATCH($N$1,$C$112:$C$113,0)-1,0)</f>
        <v>23.6</v>
      </c>
      <c r="N28" s="33">
        <v>18.900000000000002</v>
      </c>
      <c r="O28" s="29">
        <f t="shared" ca="1" si="0"/>
        <v>1.5890410958904111</v>
      </c>
      <c r="P28" s="29">
        <f t="shared" ca="1" si="1"/>
        <v>-0.1126760563380281</v>
      </c>
    </row>
    <row r="29" spans="1:16" ht="18" customHeight="1" x14ac:dyDescent="0.2">
      <c r="A29" s="199"/>
      <c r="B29" s="42" t="s">
        <v>71</v>
      </c>
      <c r="C29" s="43"/>
      <c r="D29" s="43">
        <f ca="1">680.6*OFFSET(D$112,MATCH($N$1,$C$112:$C$113,0)-1,0)</f>
        <v>680.6</v>
      </c>
      <c r="E29" s="43">
        <f ca="1">641.2*OFFSET(E$112,MATCH($N$1,$C$112:$C$113,0)-1,0)</f>
        <v>641.20000000000005</v>
      </c>
      <c r="F29" s="43">
        <f ca="1">520.2*OFFSET(F$112,MATCH($N$1,$C$112:$C$113,0)-1,0)</f>
        <v>520.20000000000005</v>
      </c>
      <c r="G29" s="43">
        <f ca="1">473.7*OFFSET(G$112,MATCH($N$1,$C$112:$C$113,0)-1,0)</f>
        <v>473.7</v>
      </c>
      <c r="H29" s="43">
        <f ca="1">516.3*OFFSET(H$112,MATCH($N$1,$C$112:$C$113,0)-1,0)</f>
        <v>516.29999999999995</v>
      </c>
      <c r="I29" s="43">
        <f ca="1">583.7*OFFSET(I$112,MATCH($N$1,$C$112:$C$113,0)-1,0)</f>
        <v>583.70000000000005</v>
      </c>
      <c r="J29" s="43">
        <f ca="1">570.4*OFFSET(J$112,MATCH($N$1,$C$112:$C$113,0)-1,0)</f>
        <v>570.4</v>
      </c>
      <c r="K29" s="43">
        <f ca="1">560.6*OFFSET(K$112,MATCH($N$1,$C$112:$C$113,0)-1,0)</f>
        <v>560.6</v>
      </c>
      <c r="L29" s="43">
        <f ca="1">535.2*OFFSET(L$112,MATCH($N$1,$C$112:$C$113,0)-1,0)</f>
        <v>535.20000000000005</v>
      </c>
      <c r="M29" s="43">
        <f ca="1">421.1*OFFSET(M$112,MATCH($N$1,$C$112:$C$113,0)-1,0)</f>
        <v>421.1</v>
      </c>
      <c r="N29" s="43">
        <v>570.1</v>
      </c>
      <c r="O29" s="29">
        <f t="shared" ca="1" si="0"/>
        <v>-0.1623567440493682</v>
      </c>
      <c r="P29" s="29">
        <f t="shared" ca="1" si="1"/>
        <v>-5.2594670406724147E-4</v>
      </c>
    </row>
    <row r="30" spans="1:16" ht="18" customHeight="1" x14ac:dyDescent="0.2">
      <c r="A30" s="199"/>
      <c r="B30" s="37" t="s">
        <v>72</v>
      </c>
      <c r="C30" s="33"/>
      <c r="D30" s="33">
        <f ca="1">125.5*OFFSET(D$112,MATCH($N$1,$C$112:$C$113,0)-1,0)</f>
        <v>125.5</v>
      </c>
      <c r="E30" s="33">
        <f ca="1">126.2*OFFSET(E$112,MATCH($N$1,$C$112:$C$113,0)-1,0)</f>
        <v>126.2</v>
      </c>
      <c r="F30" s="33">
        <f ca="1">116.5*OFFSET(F$112,MATCH($N$1,$C$112:$C$113,0)-1,0)</f>
        <v>116.5</v>
      </c>
      <c r="G30" s="33">
        <f ca="1">105.1*OFFSET(G$112,MATCH($N$1,$C$112:$C$113,0)-1,0)</f>
        <v>105.1</v>
      </c>
      <c r="H30" s="33">
        <f ca="1">76.5*OFFSET(H$112,MATCH($N$1,$C$112:$C$113,0)-1,0)</f>
        <v>76.5</v>
      </c>
      <c r="I30" s="33">
        <f ca="1">74.6*OFFSET(I$112,MATCH($N$1,$C$112:$C$113,0)-1,0)</f>
        <v>74.599999999999994</v>
      </c>
      <c r="J30" s="33">
        <f ca="1">84.4*OFFSET(J$112,MATCH($N$1,$C$112:$C$113,0)-1,0)</f>
        <v>84.4</v>
      </c>
      <c r="K30" s="33">
        <f ca="1">101.7*OFFSET(K$112,MATCH($N$1,$C$112:$C$113,0)-1,0)</f>
        <v>101.7</v>
      </c>
      <c r="L30" s="33">
        <f ca="1">97.3*OFFSET(L$112,MATCH($N$1,$C$112:$C$113,0)-1,0)</f>
        <v>97.3</v>
      </c>
      <c r="M30" s="33">
        <f ca="1">57.9*OFFSET(M$112,MATCH($N$1,$C$112:$C$113,0)-1,0)</f>
        <v>57.9</v>
      </c>
      <c r="N30" s="33">
        <v>88.7</v>
      </c>
      <c r="O30" s="29">
        <f t="shared" ca="1" si="0"/>
        <v>-0.29322709163346611</v>
      </c>
      <c r="P30" s="29">
        <f t="shared" ca="1" si="1"/>
        <v>5.0947867298578163E-2</v>
      </c>
    </row>
    <row r="31" spans="1:16" ht="18" customHeight="1" x14ac:dyDescent="0.2">
      <c r="A31" s="199"/>
      <c r="B31" s="37" t="s">
        <v>73</v>
      </c>
      <c r="C31" s="33"/>
      <c r="D31" s="33">
        <f ca="1">196.4*OFFSET(D$112,MATCH($N$1,$C$112:$C$113,0)-1,0)</f>
        <v>196.4</v>
      </c>
      <c r="E31" s="33">
        <f ca="1">155.7*OFFSET(E$112,MATCH($N$1,$C$112:$C$113,0)-1,0)</f>
        <v>155.69999999999999</v>
      </c>
      <c r="F31" s="33">
        <f ca="1">124.5*OFFSET(F$112,MATCH($N$1,$C$112:$C$113,0)-1,0)</f>
        <v>124.5</v>
      </c>
      <c r="G31" s="33">
        <f ca="1">113.3*OFFSET(G$112,MATCH($N$1,$C$112:$C$113,0)-1,0)</f>
        <v>113.3</v>
      </c>
      <c r="H31" s="33">
        <f ca="1">147.9*OFFSET(H$112,MATCH($N$1,$C$112:$C$113,0)-1,0)</f>
        <v>147.9</v>
      </c>
      <c r="I31" s="33">
        <f ca="1">176.1*OFFSET(I$112,MATCH($N$1,$C$112:$C$113,0)-1,0)</f>
        <v>176.1</v>
      </c>
      <c r="J31" s="33">
        <f ca="1">176.4*OFFSET(J$112,MATCH($N$1,$C$112:$C$113,0)-1,0)</f>
        <v>176.4</v>
      </c>
      <c r="K31" s="33">
        <f ca="1">162.2*OFFSET(K$112,MATCH($N$1,$C$112:$C$113,0)-1,0)</f>
        <v>162.19999999999999</v>
      </c>
      <c r="L31" s="33">
        <f ca="1">152.9*OFFSET(L$112,MATCH($N$1,$C$112:$C$113,0)-1,0)</f>
        <v>152.9</v>
      </c>
      <c r="M31" s="33">
        <f ca="1">127*OFFSET(M$112,MATCH($N$1,$C$112:$C$113,0)-1,0)</f>
        <v>127</v>
      </c>
      <c r="N31" s="33">
        <v>172.5</v>
      </c>
      <c r="O31" s="29">
        <f t="shared" ca="1" si="0"/>
        <v>-0.12169042769857437</v>
      </c>
      <c r="P31" s="29">
        <f t="shared" ca="1" si="1"/>
        <v>-2.2108843537414997E-2</v>
      </c>
    </row>
    <row r="32" spans="1:16" ht="18" customHeight="1" x14ac:dyDescent="0.2">
      <c r="A32" s="199"/>
      <c r="B32" s="37" t="s">
        <v>74</v>
      </c>
      <c r="C32" s="33"/>
      <c r="D32" s="33">
        <f ca="1">52*OFFSET(D$112,MATCH($N$1,$C$112:$C$113,0)-1,0)</f>
        <v>52</v>
      </c>
      <c r="E32" s="33">
        <f ca="1">52*OFFSET(E$112,MATCH($N$1,$C$112:$C$113,0)-1,0)</f>
        <v>52</v>
      </c>
      <c r="F32" s="33">
        <f ca="1">46.6*OFFSET(F$112,MATCH($N$1,$C$112:$C$113,0)-1,0)</f>
        <v>46.6</v>
      </c>
      <c r="G32" s="33">
        <f ca="1">47.9*OFFSET(G$112,MATCH($N$1,$C$112:$C$113,0)-1,0)</f>
        <v>47.9</v>
      </c>
      <c r="H32" s="33">
        <f ca="1">41.4*OFFSET(H$112,MATCH($N$1,$C$112:$C$113,0)-1,0)</f>
        <v>41.4</v>
      </c>
      <c r="I32" s="33">
        <f ca="1">65.6*OFFSET(I$112,MATCH($N$1,$C$112:$C$113,0)-1,0)</f>
        <v>65.599999999999994</v>
      </c>
      <c r="J32" s="33">
        <f ca="1">46.6*OFFSET(J$112,MATCH($N$1,$C$112:$C$113,0)-1,0)</f>
        <v>46.6</v>
      </c>
      <c r="K32" s="33">
        <f ca="1">118.4*OFFSET(K$112,MATCH($N$1,$C$112:$C$113,0)-1,0)</f>
        <v>118.4</v>
      </c>
      <c r="L32" s="33">
        <f ca="1">58.5*OFFSET(L$112,MATCH($N$1,$C$112:$C$113,0)-1,0)</f>
        <v>58.5</v>
      </c>
      <c r="M32" s="33">
        <f ca="1">42.5*OFFSET(M$112,MATCH($N$1,$C$112:$C$113,0)-1,0)</f>
        <v>42.5</v>
      </c>
      <c r="N32" s="33">
        <v>58.9</v>
      </c>
      <c r="O32" s="29">
        <f t="shared" ca="1" si="0"/>
        <v>0.13269230769230766</v>
      </c>
      <c r="P32" s="29">
        <f t="shared" ca="1" si="1"/>
        <v>0.2639484978540772</v>
      </c>
    </row>
    <row r="33" spans="1:16" ht="18" customHeight="1" x14ac:dyDescent="0.2">
      <c r="A33" s="199"/>
      <c r="B33" s="37" t="s">
        <v>75</v>
      </c>
      <c r="C33" s="33"/>
      <c r="D33" s="33">
        <f ca="1">373.9*OFFSET(D$112,MATCH($N$1,$C$112:$C$113,0)-1,0)</f>
        <v>373.9</v>
      </c>
      <c r="E33" s="33">
        <f ca="1">333.9*OFFSET(E$112,MATCH($N$1,$C$112:$C$113,0)-1,0)</f>
        <v>333.9</v>
      </c>
      <c r="F33" s="33">
        <f ca="1">287.7*OFFSET(F$112,MATCH($N$1,$C$112:$C$113,0)-1,0)</f>
        <v>287.7</v>
      </c>
      <c r="G33" s="33">
        <f ca="1">266.3*OFFSET(G$112,MATCH($N$1,$C$112:$C$113,0)-1,0)</f>
        <v>266.3</v>
      </c>
      <c r="H33" s="33">
        <f ca="1">265.9*OFFSET(H$112,MATCH($N$1,$C$112:$C$113,0)-1,0)</f>
        <v>265.89999999999998</v>
      </c>
      <c r="I33" s="33">
        <f ca="1">316.4*OFFSET(I$112,MATCH($N$1,$C$112:$C$113,0)-1,0)</f>
        <v>316.39999999999998</v>
      </c>
      <c r="J33" s="33">
        <f ca="1">307.3*OFFSET(J$112,MATCH($N$1,$C$112:$C$113,0)-1,0)</f>
        <v>307.3</v>
      </c>
      <c r="K33" s="33">
        <f ca="1">382.4*OFFSET(K$112,MATCH($N$1,$C$112:$C$113,0)-1,0)</f>
        <v>382.4</v>
      </c>
      <c r="L33" s="33">
        <f ca="1">308.7*OFFSET(L$112,MATCH($N$1,$C$112:$C$113,0)-1,0)</f>
        <v>308.7</v>
      </c>
      <c r="M33" s="33">
        <f ca="1">227.4*OFFSET(M$112,MATCH($N$1,$C$112:$C$113,0)-1,0)</f>
        <v>227.4</v>
      </c>
      <c r="N33" s="33">
        <v>320.2</v>
      </c>
      <c r="O33" s="29">
        <f t="shared" ca="1" si="0"/>
        <v>-0.14362128911473654</v>
      </c>
      <c r="P33" s="29">
        <f t="shared" ca="1" si="1"/>
        <v>4.1978522616335751E-2</v>
      </c>
    </row>
    <row r="34" spans="1:16" ht="18" customHeight="1" x14ac:dyDescent="0.2">
      <c r="A34" s="199"/>
      <c r="B34" s="37" t="s">
        <v>76</v>
      </c>
      <c r="C34" s="33"/>
      <c r="D34" s="33">
        <f ca="1">143.1*OFFSET(D$112,MATCH($N$1,$C$112:$C$113,0)-1,0)</f>
        <v>143.1</v>
      </c>
      <c r="E34" s="33">
        <f ca="1">166.6*OFFSET(E$112,MATCH($N$1,$C$112:$C$113,0)-1,0)</f>
        <v>166.6</v>
      </c>
      <c r="F34" s="33">
        <f ca="1">140.4*OFFSET(F$112,MATCH($N$1,$C$112:$C$113,0)-1,0)</f>
        <v>140.4</v>
      </c>
      <c r="G34" s="33">
        <f ca="1">133.1*OFFSET(G$112,MATCH($N$1,$C$112:$C$113,0)-1,0)</f>
        <v>133.1</v>
      </c>
      <c r="H34" s="33">
        <f ca="1">152.5*OFFSET(H$112,MATCH($N$1,$C$112:$C$113,0)-1,0)</f>
        <v>152.5</v>
      </c>
      <c r="I34" s="33">
        <f ca="1">191.1*OFFSET(I$112,MATCH($N$1,$C$112:$C$113,0)-1,0)</f>
        <v>191.1</v>
      </c>
      <c r="J34" s="33">
        <f ca="1">152.4*OFFSET(J$112,MATCH($N$1,$C$112:$C$113,0)-1,0)</f>
        <v>152.4</v>
      </c>
      <c r="K34" s="33">
        <f ca="1">161.2*OFFSET(K$112,MATCH($N$1,$C$112:$C$113,0)-1,0)</f>
        <v>161.19999999999999</v>
      </c>
      <c r="L34" s="33">
        <f ca="1">144.6*OFFSET(L$112,MATCH($N$1,$C$112:$C$113,0)-1,0)</f>
        <v>144.6</v>
      </c>
      <c r="M34" s="33">
        <f ca="1">134.2*OFFSET(M$112,MATCH($N$1,$C$112:$C$113,0)-1,0)</f>
        <v>134.19999999999999</v>
      </c>
      <c r="N34" s="33">
        <v>140.4</v>
      </c>
      <c r="O34" s="29">
        <f t="shared" ca="1" si="0"/>
        <v>-1.886792452830181E-2</v>
      </c>
      <c r="P34" s="29">
        <f t="shared" ca="1" si="1"/>
        <v>-7.874015748031496E-2</v>
      </c>
    </row>
    <row r="35" spans="1:16" ht="18" customHeight="1" x14ac:dyDescent="0.2">
      <c r="A35" s="199"/>
      <c r="B35" s="37" t="s">
        <v>77</v>
      </c>
      <c r="C35" s="33"/>
      <c r="D35" s="33">
        <f ca="1">517.1*OFFSET(D$112,MATCH($N$1,$C$112:$C$113,0)-1,0)</f>
        <v>517.1</v>
      </c>
      <c r="E35" s="33">
        <f ca="1">500.5*OFFSET(E$112,MATCH($N$1,$C$112:$C$113,0)-1,0)</f>
        <v>500.5</v>
      </c>
      <c r="F35" s="33">
        <f ca="1">428.1*OFFSET(F$112,MATCH($N$1,$C$112:$C$113,0)-1,0)</f>
        <v>428.1</v>
      </c>
      <c r="G35" s="33">
        <f ca="1">399.4*OFFSET(G$112,MATCH($N$1,$C$112:$C$113,0)-1,0)</f>
        <v>399.4</v>
      </c>
      <c r="H35" s="33">
        <f ca="1">418.4*OFFSET(H$112,MATCH($N$1,$C$112:$C$113,0)-1,0)</f>
        <v>418.4</v>
      </c>
      <c r="I35" s="33">
        <f ca="1">507.4*OFFSET(I$112,MATCH($N$1,$C$112:$C$113,0)-1,0)</f>
        <v>507.4</v>
      </c>
      <c r="J35" s="33">
        <f ca="1">459.8*OFFSET(J$112,MATCH($N$1,$C$112:$C$113,0)-1,0)</f>
        <v>459.8</v>
      </c>
      <c r="K35" s="33">
        <f ca="1">543.5*OFFSET(K$112,MATCH($N$1,$C$112:$C$113,0)-1,0)</f>
        <v>543.5</v>
      </c>
      <c r="L35" s="33">
        <f ca="1">453.3*OFFSET(L$112,MATCH($N$1,$C$112:$C$113,0)-1,0)</f>
        <v>453.3</v>
      </c>
      <c r="M35" s="33">
        <f ca="1">361.6*OFFSET(M$112,MATCH($N$1,$C$112:$C$113,0)-1,0)</f>
        <v>361.6</v>
      </c>
      <c r="N35" s="33">
        <v>460.6</v>
      </c>
      <c r="O35" s="29">
        <f t="shared" ca="1" si="0"/>
        <v>-0.10926319860761941</v>
      </c>
      <c r="P35" s="29">
        <f t="shared" ca="1" si="1"/>
        <v>1.7398869073510469E-3</v>
      </c>
    </row>
    <row r="36" spans="1:16" ht="18" customHeight="1" x14ac:dyDescent="0.2">
      <c r="A36" s="199"/>
      <c r="B36" s="42" t="s">
        <v>78</v>
      </c>
      <c r="C36" s="43"/>
      <c r="D36" s="43">
        <f ca="1">359.9*OFFSET(D$112,MATCH($N$1,$C$112:$C$113,0)-1,0)</f>
        <v>359.9</v>
      </c>
      <c r="E36" s="43">
        <f ca="1">296.4*OFFSET(E$112,MATCH($N$1,$C$112:$C$113,0)-1,0)</f>
        <v>296.39999999999998</v>
      </c>
      <c r="F36" s="43">
        <f ca="1">216.7*OFFSET(F$112,MATCH($N$1,$C$112:$C$113,0)-1,0)</f>
        <v>216.7</v>
      </c>
      <c r="G36" s="43">
        <f ca="1">187.5*OFFSET(G$112,MATCH($N$1,$C$112:$C$113,0)-1,0)</f>
        <v>187.5</v>
      </c>
      <c r="H36" s="43">
        <f ca="1">245.8*OFFSET(H$112,MATCH($N$1,$C$112:$C$113,0)-1,0)</f>
        <v>245.8</v>
      </c>
      <c r="I36" s="43">
        <f ca="1">252.4*OFFSET(I$112,MATCH($N$1,$C$112:$C$113,0)-1,0)</f>
        <v>252.4</v>
      </c>
      <c r="J36" s="43">
        <f ca="1">287*OFFSET(J$112,MATCH($N$1,$C$112:$C$113,0)-1,0)</f>
        <v>287</v>
      </c>
      <c r="K36" s="43">
        <f ca="1">179.3*OFFSET(K$112,MATCH($N$1,$C$112:$C$113,0)-1,0)</f>
        <v>179.3</v>
      </c>
      <c r="L36" s="43">
        <f ca="1">234.7*OFFSET(L$112,MATCH($N$1,$C$112:$C$113,0)-1,0)</f>
        <v>234.7</v>
      </c>
      <c r="M36" s="43">
        <f ca="1">186.5*OFFSET(M$112,MATCH($N$1,$C$112:$C$113,0)-1,0)</f>
        <v>186.5</v>
      </c>
      <c r="N36" s="43">
        <v>282.10000000000002</v>
      </c>
      <c r="O36" s="29">
        <f t="shared" ca="1" si="0"/>
        <v>-0.21617115865518188</v>
      </c>
      <c r="P36" s="29">
        <f t="shared" ca="1" si="1"/>
        <v>-1.7073170731707239E-2</v>
      </c>
    </row>
    <row r="37" spans="1:16" ht="18" customHeight="1" x14ac:dyDescent="0.2">
      <c r="A37" s="199"/>
      <c r="B37" s="42" t="s">
        <v>79</v>
      </c>
      <c r="C37" s="43"/>
      <c r="D37" s="43">
        <f ca="1">163.5*OFFSET(D$112,MATCH($N$1,$C$112:$C$113,0)-1,0)</f>
        <v>163.5</v>
      </c>
      <c r="E37" s="43">
        <f ca="1">140.7*OFFSET(E$112,MATCH($N$1,$C$112:$C$113,0)-1,0)</f>
        <v>140.69999999999999</v>
      </c>
      <c r="F37" s="43">
        <f ca="1">92.2*OFFSET(F$112,MATCH($N$1,$C$112:$C$113,0)-1,0)</f>
        <v>92.2</v>
      </c>
      <c r="G37" s="43">
        <f ca="1">74.2*OFFSET(G$112,MATCH($N$1,$C$112:$C$113,0)-1,0)</f>
        <v>74.2</v>
      </c>
      <c r="H37" s="43">
        <f ca="1">97.9*OFFSET(H$112,MATCH($N$1,$C$112:$C$113,0)-1,0)</f>
        <v>97.9</v>
      </c>
      <c r="I37" s="43">
        <f ca="1">76.3*OFFSET(I$112,MATCH($N$1,$C$112:$C$113,0)-1,0)</f>
        <v>76.3</v>
      </c>
      <c r="J37" s="43">
        <f ca="1">110.6*OFFSET(J$112,MATCH($N$1,$C$112:$C$113,0)-1,0)</f>
        <v>110.6</v>
      </c>
      <c r="K37" s="43">
        <f ca="1">17.1*OFFSET(K$112,MATCH($N$1,$C$112:$C$113,0)-1,0)</f>
        <v>17.100000000000001</v>
      </c>
      <c r="L37" s="43">
        <f ca="1">81.8*OFFSET(L$112,MATCH($N$1,$C$112:$C$113,0)-1,0)</f>
        <v>81.8</v>
      </c>
      <c r="M37" s="43">
        <f ca="1">59.5*OFFSET(M$112,MATCH($N$1,$C$112:$C$113,0)-1,0)</f>
        <v>59.5</v>
      </c>
      <c r="N37" s="43">
        <v>109.60000000000001</v>
      </c>
      <c r="O37" s="29">
        <f t="shared" ca="1" si="0"/>
        <v>-0.32966360856269106</v>
      </c>
      <c r="P37" s="29">
        <f t="shared" ca="1" si="1"/>
        <v>-9.0415913200722047E-3</v>
      </c>
    </row>
    <row r="38" spans="1:16" ht="18" customHeight="1" x14ac:dyDescent="0.2">
      <c r="A38" s="199"/>
      <c r="B38" s="37" t="s">
        <v>80</v>
      </c>
      <c r="C38" s="33"/>
      <c r="D38" s="33">
        <f ca="1">25*OFFSET(D$112,MATCH($N$1,$C$112:$C$113,0)-1,0)</f>
        <v>25</v>
      </c>
      <c r="E38" s="33">
        <f ca="1">29.9*OFFSET(E$112,MATCH($N$1,$C$112:$C$113,0)-1,0)</f>
        <v>29.9</v>
      </c>
      <c r="F38" s="33">
        <f ca="1">18.2*OFFSET(F$112,MATCH($N$1,$C$112:$C$113,0)-1,0)</f>
        <v>18.2</v>
      </c>
      <c r="G38" s="33">
        <f ca="1">12.1*OFFSET(G$112,MATCH($N$1,$C$112:$C$113,0)-1,0)</f>
        <v>12.1</v>
      </c>
      <c r="H38" s="33">
        <f ca="1">25.6*OFFSET(H$112,MATCH($N$1,$C$112:$C$113,0)-1,0)</f>
        <v>25.6</v>
      </c>
      <c r="I38" s="33">
        <f ca="1">45.1*OFFSET(I$112,MATCH($N$1,$C$112:$C$113,0)-1,0)</f>
        <v>45.1</v>
      </c>
      <c r="J38" s="33">
        <f ca="1">23.4*OFFSET(J$112,MATCH($N$1,$C$112:$C$113,0)-1,0)</f>
        <v>23.4</v>
      </c>
      <c r="K38" s="33">
        <f ca="1">26.9*OFFSET(K$112,MATCH($N$1,$C$112:$C$113,0)-1,0)</f>
        <v>26.9</v>
      </c>
      <c r="L38" s="33">
        <f ca="1">40*OFFSET(L$112,MATCH($N$1,$C$112:$C$113,0)-1,0)</f>
        <v>40</v>
      </c>
      <c r="M38" s="33">
        <f ca="1">40.4*OFFSET(M$112,MATCH($N$1,$C$112:$C$113,0)-1,0)</f>
        <v>40.4</v>
      </c>
      <c r="N38" s="33"/>
      <c r="O38" s="29" t="str">
        <f t="shared" si="0"/>
        <v/>
      </c>
      <c r="P38" s="29" t="str">
        <f t="shared" si="1"/>
        <v/>
      </c>
    </row>
    <row r="39" spans="1:16" ht="18" customHeight="1" x14ac:dyDescent="0.2">
      <c r="A39" s="199"/>
      <c r="B39" s="37" t="s">
        <v>81</v>
      </c>
      <c r="C39" s="33"/>
      <c r="D39" s="33">
        <f ca="1">3.2*OFFSET(D$112,MATCH($N$1,$C$112:$C$113,0)-1,0)</f>
        <v>3.2</v>
      </c>
      <c r="E39" s="33">
        <f ca="1">5.8*OFFSET(E$112,MATCH($N$1,$C$112:$C$113,0)-1,0)</f>
        <v>5.8</v>
      </c>
      <c r="F39" s="33">
        <f ca="1">3*OFFSET(F$112,MATCH($N$1,$C$112:$C$113,0)-1,0)</f>
        <v>3</v>
      </c>
      <c r="G39" s="33">
        <f ca="1">3.1*OFFSET(G$112,MATCH($N$1,$C$112:$C$113,0)-1,0)</f>
        <v>3.1</v>
      </c>
      <c r="H39" s="33">
        <f ca="1">2.8*OFFSET(H$112,MATCH($N$1,$C$112:$C$113,0)-1,0)</f>
        <v>2.8</v>
      </c>
      <c r="I39" s="33">
        <f ca="1">1.9*OFFSET(I$112,MATCH($N$1,$C$112:$C$113,0)-1,0)</f>
        <v>1.9</v>
      </c>
      <c r="J39" s="33">
        <f ca="1">1.5*OFFSET(J$112,MATCH($N$1,$C$112:$C$113,0)-1,0)</f>
        <v>1.5</v>
      </c>
      <c r="K39" s="33">
        <f ca="1">1.8*OFFSET(K$112,MATCH($N$1,$C$112:$C$113,0)-1,0)</f>
        <v>1.8</v>
      </c>
      <c r="L39" s="33">
        <f ca="1">3.5*OFFSET(L$112,MATCH($N$1,$C$112:$C$113,0)-1,0)</f>
        <v>3.5</v>
      </c>
      <c r="M39" s="33">
        <f ca="1">5*OFFSET(M$112,MATCH($N$1,$C$112:$C$113,0)-1,0)</f>
        <v>5</v>
      </c>
      <c r="N39" s="33"/>
      <c r="O39" s="29" t="str">
        <f t="shared" si="0"/>
        <v/>
      </c>
      <c r="P39" s="29" t="str">
        <f t="shared" si="1"/>
        <v/>
      </c>
    </row>
    <row r="40" spans="1:16" ht="18" customHeight="1" x14ac:dyDescent="0.2">
      <c r="A40" s="199"/>
      <c r="B40" s="37" t="s">
        <v>82</v>
      </c>
      <c r="C40" s="33"/>
      <c r="D40" s="33">
        <f ca="1">2.3*OFFSET(D$112,MATCH($N$1,$C$112:$C$113,0)-1,0)</f>
        <v>2.2999999999999998</v>
      </c>
      <c r="E40" s="33">
        <f ca="1">1.5*OFFSET(E$112,MATCH($N$1,$C$112:$C$113,0)-1,0)</f>
        <v>1.5</v>
      </c>
      <c r="F40" s="33">
        <f ca="1">1.7*OFFSET(F$112,MATCH($N$1,$C$112:$C$113,0)-1,0)</f>
        <v>1.7</v>
      </c>
      <c r="G40" s="33">
        <f ca="1">4.3*OFFSET(G$112,MATCH($N$1,$C$112:$C$113,0)-1,0)</f>
        <v>4.3</v>
      </c>
      <c r="H40" s="33">
        <f ca="1">1.6*OFFSET(H$112,MATCH($N$1,$C$112:$C$113,0)-1,0)</f>
        <v>1.6</v>
      </c>
      <c r="I40" s="33">
        <f ca="1">0.7*OFFSET(I$112,MATCH($N$1,$C$112:$C$113,0)-1,0)</f>
        <v>0.7</v>
      </c>
      <c r="J40" s="33">
        <f ca="1">1.3*OFFSET(J$112,MATCH($N$1,$C$112:$C$113,0)-1,0)</f>
        <v>1.3</v>
      </c>
      <c r="K40" s="33">
        <f ca="1">1.3*OFFSET(K$112,MATCH($N$1,$C$112:$C$113,0)-1,0)</f>
        <v>1.3</v>
      </c>
      <c r="L40" s="33">
        <f ca="1">3.3*OFFSET(L$112,MATCH($N$1,$C$112:$C$113,0)-1,0)</f>
        <v>3.3</v>
      </c>
      <c r="M40" s="33">
        <f ca="1">1.2*OFFSET(M$112,MATCH($N$1,$C$112:$C$113,0)-1,0)</f>
        <v>1.2</v>
      </c>
      <c r="N40" s="33"/>
      <c r="O40" s="29" t="str">
        <f t="shared" si="0"/>
        <v/>
      </c>
      <c r="P40" s="29" t="str">
        <f t="shared" si="1"/>
        <v/>
      </c>
    </row>
    <row r="41" spans="1:16" ht="18" customHeight="1" thickBot="1" x14ac:dyDescent="0.25">
      <c r="A41" s="200"/>
      <c r="B41" s="44" t="s">
        <v>83</v>
      </c>
      <c r="C41" s="45"/>
      <c r="D41" s="45">
        <f ca="1">133.1*OFFSET(D$112,MATCH($N$1,$C$112:$C$113,0)-1,0)</f>
        <v>133.1</v>
      </c>
      <c r="E41" s="45">
        <f ca="1">103.4*OFFSET(E$112,MATCH($N$1,$C$112:$C$113,0)-1,0)</f>
        <v>103.4</v>
      </c>
      <c r="F41" s="45">
        <f ca="1">69.3*OFFSET(F$112,MATCH($N$1,$C$112:$C$113,0)-1,0)</f>
        <v>69.3</v>
      </c>
      <c r="G41" s="45">
        <f ca="1">54.8*OFFSET(G$112,MATCH($N$1,$C$112:$C$113,0)-1,0)</f>
        <v>54.8</v>
      </c>
      <c r="H41" s="45">
        <f ca="1">67.9*OFFSET(H$112,MATCH($N$1,$C$112:$C$113,0)-1,0)</f>
        <v>67.900000000000006</v>
      </c>
      <c r="I41" s="45">
        <f ca="1">28.5*OFFSET(I$112,MATCH($N$1,$C$112:$C$113,0)-1,0)</f>
        <v>28.5</v>
      </c>
      <c r="J41" s="45">
        <f ca="1">84.4*OFFSET(J$112,MATCH($N$1,$C$112:$C$113,0)-1,0)</f>
        <v>84.4</v>
      </c>
      <c r="K41" s="45">
        <f ca="1">-12.9*OFFSET(K$112,MATCH($N$1,$C$112:$C$113,0)-1,0)</f>
        <v>-12.9</v>
      </c>
      <c r="L41" s="45">
        <f ca="1">35*OFFSET(L$112,MATCH($N$1,$C$112:$C$113,0)-1,0)</f>
        <v>35</v>
      </c>
      <c r="M41" s="45">
        <f ca="1">3*OFFSET(M$112,MATCH($N$1,$C$112:$C$113,0)-1,0)</f>
        <v>3</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21</v>
      </c>
      <c r="F46" s="94" t="s">
        <v>22</v>
      </c>
      <c r="G46" s="94" t="s">
        <v>130</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UK scallop dredge over 15m</v>
      </c>
      <c r="C48" s="96"/>
      <c r="D48" s="96"/>
      <c r="E48" s="96"/>
      <c r="F48" s="96"/>
      <c r="G48" s="96"/>
      <c r="K48" s="96" t="str">
        <f>$B24&amp;CHAR(10)&amp;$A$1</f>
        <v>Operating profit per kW day at sea (£)
UK scallop dredge over 15m</v>
      </c>
    </row>
    <row r="49" spans="1:11" s="82" customFormat="1" x14ac:dyDescent="0.2">
      <c r="A49" s="96" t="str">
        <f>$B22&amp;CHAR(10)&amp;$A$1</f>
        <v>Fishing income per kW day at sea (£)
UK scallop dredge over 15m</v>
      </c>
    </row>
    <row r="50" spans="1:11" s="82" customFormat="1" x14ac:dyDescent="0.2">
      <c r="A50" s="96" t="str">
        <f>$B20&amp;CHAR(10)&amp;$A$1</f>
        <v>Average price per tonne landed (£)
UK scallop dredge over 15m</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UK scallop dredge over 15m</v>
      </c>
      <c r="F62" s="96" t="str">
        <f>$B20&amp;CHAR(10)&amp;$A$1</f>
        <v>Average price per tonne landed (£)
UK scallop dredge over 15m</v>
      </c>
      <c r="K62" s="96" t="str">
        <f>"Average annual operating profit per vessel (£'000)"&amp;CHAR(10)&amp;$A$1</f>
        <v>Average annual operating profit per vessel (£'000)
UK scallop dredge over 15m</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UK scallop dredge over 15m</v>
      </c>
      <c r="F76" s="96" t="str">
        <f>"Top 5 landed species by value in "&amp;A77&amp;CHAR(10)&amp;A1</f>
        <v>Top 5 landed species by value in 2020
UK scallop dredge over 15m</v>
      </c>
    </row>
    <row r="77" spans="1:11" s="96" customFormat="1" x14ac:dyDescent="0.2">
      <c r="A77" s="96">
        <v>2020</v>
      </c>
      <c r="B77" s="96" t="s">
        <v>431</v>
      </c>
      <c r="C77" s="97">
        <v>0.85098026743298472</v>
      </c>
      <c r="D77" s="98">
        <v>12153634</v>
      </c>
      <c r="G77" s="96" t="s">
        <v>432</v>
      </c>
      <c r="H77" s="97">
        <v>0.93270566437554292</v>
      </c>
      <c r="I77" s="98">
        <v>12153634</v>
      </c>
      <c r="K77" s="96" t="s">
        <v>87</v>
      </c>
    </row>
    <row r="78" spans="1:11" s="96" customFormat="1" x14ac:dyDescent="0.2">
      <c r="B78" s="96" t="s">
        <v>433</v>
      </c>
      <c r="C78" s="97">
        <v>0.13711246079372161</v>
      </c>
      <c r="D78" s="98">
        <v>553960</v>
      </c>
      <c r="G78" s="96" t="s">
        <v>434</v>
      </c>
      <c r="H78" s="97">
        <v>4.4761684337234389E-2</v>
      </c>
      <c r="I78" s="98">
        <v>553960</v>
      </c>
    </row>
    <row r="79" spans="1:11" s="96" customFormat="1" x14ac:dyDescent="0.2">
      <c r="B79" s="96" t="s">
        <v>435</v>
      </c>
      <c r="C79" s="97">
        <v>3.2668640198581572E-3</v>
      </c>
      <c r="D79" s="98">
        <v>3689192</v>
      </c>
      <c r="G79" s="96" t="s">
        <v>436</v>
      </c>
      <c r="H79" s="97">
        <v>5.6640754139808324E-3</v>
      </c>
      <c r="I79" s="98">
        <v>3050596</v>
      </c>
    </row>
    <row r="80" spans="1:11" s="96" customFormat="1" x14ac:dyDescent="0.2">
      <c r="B80" s="96" t="s">
        <v>437</v>
      </c>
      <c r="C80" s="97">
        <v>1.4718368893664293E-3</v>
      </c>
      <c r="D80" s="98">
        <v>11115023</v>
      </c>
      <c r="G80" s="96" t="s">
        <v>438</v>
      </c>
      <c r="H80" s="97">
        <v>5.2624836790088423E-3</v>
      </c>
      <c r="I80" s="98">
        <v>1692097</v>
      </c>
    </row>
    <row r="81" spans="1:19" s="96" customFormat="1" x14ac:dyDescent="0.2">
      <c r="B81" s="96" t="s">
        <v>439</v>
      </c>
      <c r="C81" s="97">
        <v>1.1469199401530085E-3</v>
      </c>
      <c r="D81" s="98">
        <v>3050596</v>
      </c>
      <c r="G81" s="96" t="s">
        <v>440</v>
      </c>
      <c r="H81" s="97">
        <v>4.9284659879338328E-3</v>
      </c>
      <c r="I81" s="98">
        <v>3689192</v>
      </c>
    </row>
    <row r="82" spans="1:19" s="96" customFormat="1" x14ac:dyDescent="0.2">
      <c r="B82" s="96" t="s">
        <v>441</v>
      </c>
      <c r="C82" s="97">
        <v>6.0216509239159333E-3</v>
      </c>
      <c r="D82" s="98">
        <v>5920853</v>
      </c>
      <c r="G82" s="96" t="s">
        <v>442</v>
      </c>
      <c r="H82" s="97">
        <v>6.677626206299192E-3</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100</v>
      </c>
      <c r="D92" s="102">
        <v>0.77831134522136958</v>
      </c>
      <c r="E92" s="102">
        <v>0.79901777150529618</v>
      </c>
      <c r="F92" s="102">
        <v>0.83114711652369411</v>
      </c>
      <c r="G92" s="102">
        <v>0.79259469551252393</v>
      </c>
      <c r="H92" s="102">
        <v>0.79583931858216594</v>
      </c>
      <c r="I92" s="102">
        <v>0.88438025220765226</v>
      </c>
      <c r="J92" s="102">
        <v>0.91241102815141917</v>
      </c>
      <c r="K92" s="102">
        <v>0.89170093393548455</v>
      </c>
      <c r="L92" s="102">
        <v>0.93270566437554292</v>
      </c>
      <c r="M92" s="102">
        <v>0.91466996920453358</v>
      </c>
      <c r="O92" s="96">
        <v>12153634</v>
      </c>
    </row>
    <row r="93" spans="1:19" s="96" customFormat="1" hidden="1" x14ac:dyDescent="0.2">
      <c r="B93" s="96">
        <v>2</v>
      </c>
      <c r="C93" s="96" t="s">
        <v>105</v>
      </c>
      <c r="D93" s="102">
        <v>0.16274483335884099</v>
      </c>
      <c r="E93" s="102">
        <v>0.14143028998800206</v>
      </c>
      <c r="F93" s="102">
        <v>9.9747224544622481E-2</v>
      </c>
      <c r="G93" s="102">
        <v>0.14612373647606963</v>
      </c>
      <c r="H93" s="102">
        <v>0.14751056521023639</v>
      </c>
      <c r="I93" s="102">
        <v>0.10019471300157902</v>
      </c>
      <c r="J93" s="102">
        <v>7.1585914122192854E-2</v>
      </c>
      <c r="K93" s="102">
        <v>8.369093681070261E-2</v>
      </c>
      <c r="L93" s="102">
        <v>4.4761684337234389E-2</v>
      </c>
      <c r="M93" s="102">
        <v>3.8743745379546189E-2</v>
      </c>
      <c r="O93" s="96">
        <v>553960</v>
      </c>
    </row>
    <row r="94" spans="1:19" s="96" customFormat="1" hidden="1" x14ac:dyDescent="0.2">
      <c r="B94" s="96">
        <v>3</v>
      </c>
      <c r="C94" s="96" t="s">
        <v>147</v>
      </c>
      <c r="D94" s="102"/>
      <c r="E94" s="102">
        <v>8.8085085627958894E-3</v>
      </c>
      <c r="F94" s="102">
        <v>1.1164988204088492E-2</v>
      </c>
      <c r="G94" s="102">
        <v>8.4611288348846059E-3</v>
      </c>
      <c r="H94" s="102">
        <v>5.8931872208221447E-3</v>
      </c>
      <c r="I94" s="102">
        <v>2.8557912690854422E-3</v>
      </c>
      <c r="J94" s="102">
        <v>3.3503510907827586E-3</v>
      </c>
      <c r="K94" s="102">
        <v>5.2357870727419544E-3</v>
      </c>
      <c r="L94" s="102">
        <v>5.6640754139808324E-3</v>
      </c>
      <c r="M94" s="102">
        <v>8.2936782766671047E-3</v>
      </c>
      <c r="O94" s="96">
        <v>3050596</v>
      </c>
    </row>
    <row r="95" spans="1:19" s="96" customFormat="1" hidden="1" x14ac:dyDescent="0.2">
      <c r="B95" s="96">
        <v>4</v>
      </c>
      <c r="C95" s="96" t="s">
        <v>144</v>
      </c>
      <c r="D95" s="102">
        <v>1.267688135358043E-2</v>
      </c>
      <c r="E95" s="102"/>
      <c r="F95" s="102">
        <v>9.0569956140306787E-3</v>
      </c>
      <c r="G95" s="102"/>
      <c r="H95" s="102"/>
      <c r="I95" s="102"/>
      <c r="J95" s="102"/>
      <c r="K95" s="102"/>
      <c r="L95" s="102">
        <v>5.2624836790088423E-3</v>
      </c>
      <c r="M95" s="102">
        <v>8.8301576099157775E-3</v>
      </c>
      <c r="O95" s="96">
        <v>1692097</v>
      </c>
    </row>
    <row r="96" spans="1:19" s="96" customFormat="1" hidden="1" x14ac:dyDescent="0.2">
      <c r="B96" s="96">
        <v>5</v>
      </c>
      <c r="C96" s="96" t="s">
        <v>143</v>
      </c>
      <c r="D96" s="102">
        <v>7.0491909517661211E-3</v>
      </c>
      <c r="E96" s="102">
        <v>8.7840802869751169E-3</v>
      </c>
      <c r="F96" s="102"/>
      <c r="G96" s="102"/>
      <c r="H96" s="102"/>
      <c r="I96" s="102">
        <v>1.5777082649002907E-3</v>
      </c>
      <c r="J96" s="102">
        <v>1.967011720073986E-3</v>
      </c>
      <c r="K96" s="102">
        <v>4.5736288630958107E-3</v>
      </c>
      <c r="L96" s="102">
        <v>4.9284659879338328E-3</v>
      </c>
      <c r="M96" s="102">
        <v>8.4727722396898686E-3</v>
      </c>
      <c r="O96" s="96">
        <v>3689192</v>
      </c>
    </row>
    <row r="97" spans="1:15" s="96" customFormat="1" hidden="1" x14ac:dyDescent="0.2">
      <c r="B97" s="96">
        <v>6</v>
      </c>
      <c r="C97" s="96" t="s">
        <v>102</v>
      </c>
      <c r="D97" s="102"/>
      <c r="E97" s="102"/>
      <c r="F97" s="102"/>
      <c r="G97" s="102">
        <v>9.6434653571174662E-3</v>
      </c>
      <c r="H97" s="102">
        <v>7.1048344791473424E-3</v>
      </c>
      <c r="I97" s="102">
        <v>5.8272916915204582E-3</v>
      </c>
      <c r="J97" s="102">
        <v>5.0503557209503891E-3</v>
      </c>
      <c r="K97" s="102">
        <v>5.478208732486051E-3</v>
      </c>
      <c r="L97" s="102"/>
      <c r="M97" s="102"/>
      <c r="O97" s="96">
        <v>11115023</v>
      </c>
    </row>
    <row r="98" spans="1:15" s="96" customFormat="1" hidden="1" x14ac:dyDescent="0.2">
      <c r="B98" s="96">
        <v>7</v>
      </c>
      <c r="C98" s="96" t="s">
        <v>103</v>
      </c>
      <c r="D98" s="102">
        <v>1.1620925911153528E-2</v>
      </c>
      <c r="E98" s="102">
        <v>9.9812839249130945E-3</v>
      </c>
      <c r="F98" s="102">
        <v>1.1887377220047688E-2</v>
      </c>
      <c r="G98" s="102">
        <v>1.9312969058454935E-2</v>
      </c>
      <c r="H98" s="102">
        <v>2.2118317841380516E-2</v>
      </c>
      <c r="I98" s="102"/>
      <c r="J98" s="102"/>
      <c r="K98" s="102"/>
      <c r="L98" s="102"/>
      <c r="M98" s="102"/>
      <c r="O98" s="96">
        <v>2480382</v>
      </c>
    </row>
    <row r="99" spans="1:15" s="96" customFormat="1" hidden="1" x14ac:dyDescent="0.2">
      <c r="B99" s="96">
        <v>8</v>
      </c>
      <c r="C99" s="96" t="s">
        <v>107</v>
      </c>
      <c r="D99" s="102">
        <v>2.7596823203289371E-2</v>
      </c>
      <c r="E99" s="102">
        <v>3.1978065732017613E-2</v>
      </c>
      <c r="F99" s="102">
        <v>3.6996297893516515E-2</v>
      </c>
      <c r="G99" s="102">
        <v>2.3864004760949405E-2</v>
      </c>
      <c r="H99" s="102">
        <v>2.1533776666247659E-2</v>
      </c>
      <c r="I99" s="102">
        <v>5.1642435652625614E-3</v>
      </c>
      <c r="J99" s="102">
        <v>5.6353391945808276E-3</v>
      </c>
      <c r="K99" s="102">
        <v>9.3205045854890377E-3</v>
      </c>
      <c r="L99" s="102">
        <v>6.6776262062992258E-3</v>
      </c>
      <c r="M99" s="102">
        <v>2.0989677289647461E-2</v>
      </c>
      <c r="O99" s="96">
        <v>5920853</v>
      </c>
    </row>
    <row r="100" spans="1:15" s="96" customFormat="1" hidden="1" x14ac:dyDescent="0.2">
      <c r="B100" s="96">
        <v>9</v>
      </c>
      <c r="D100" s="102"/>
      <c r="E100" s="102"/>
      <c r="F100" s="102"/>
      <c r="G100" s="102"/>
      <c r="H100" s="102"/>
      <c r="I100" s="102"/>
      <c r="J100" s="102"/>
      <c r="K100" s="102"/>
      <c r="L100" s="102"/>
      <c r="M100" s="102"/>
      <c r="O100" s="96">
        <v>8497745</v>
      </c>
    </row>
    <row r="101" spans="1:15" s="96" customFormat="1" hidden="1" x14ac:dyDescent="0.2">
      <c r="B101" s="96">
        <v>10</v>
      </c>
      <c r="D101" s="102"/>
      <c r="E101" s="102"/>
      <c r="F101" s="102"/>
      <c r="G101" s="102"/>
      <c r="H101" s="102"/>
      <c r="I101" s="102"/>
      <c r="J101" s="102"/>
      <c r="K101" s="102"/>
      <c r="L101" s="102"/>
      <c r="M101" s="102"/>
      <c r="O101" s="96">
        <v>14393110</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9</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19</v>
      </c>
      <c r="D120" s="56">
        <v>38</v>
      </c>
      <c r="E120" s="56">
        <v>19</v>
      </c>
      <c r="F120" s="57">
        <v>69</v>
      </c>
    </row>
    <row r="121" spans="1:15" ht="18" customHeight="1" x14ac:dyDescent="0.2">
      <c r="A121" s="194" t="s">
        <v>27</v>
      </c>
      <c r="B121" s="35" t="s">
        <v>62</v>
      </c>
      <c r="C121" s="58">
        <v>28.701053619384766</v>
      </c>
      <c r="D121" s="58">
        <v>20.63105297088623</v>
      </c>
      <c r="E121" s="58">
        <v>18.329473495483398</v>
      </c>
      <c r="F121" s="59">
        <v>22.575508117675781</v>
      </c>
    </row>
    <row r="122" spans="1:15" ht="18" customHeight="1" x14ac:dyDescent="0.2">
      <c r="A122" s="195"/>
      <c r="B122" s="37" t="s">
        <v>55</v>
      </c>
      <c r="C122" s="60">
        <v>521.0526123046875</v>
      </c>
      <c r="D122" s="60">
        <v>340.76316833496094</v>
      </c>
      <c r="E122" s="60">
        <v>311.89474487304688</v>
      </c>
      <c r="F122" s="61">
        <v>396.59420776367188</v>
      </c>
    </row>
    <row r="123" spans="1:15" ht="18" customHeight="1" x14ac:dyDescent="0.2">
      <c r="A123" s="195"/>
      <c r="B123" s="37" t="s">
        <v>56</v>
      </c>
      <c r="C123" s="60">
        <v>222.94737243652344</v>
      </c>
      <c r="D123" s="60">
        <v>109.07894897460938</v>
      </c>
      <c r="E123" s="60">
        <v>71.473686218261719</v>
      </c>
      <c r="F123" s="61">
        <v>137.34782409667969</v>
      </c>
    </row>
    <row r="124" spans="1:15" ht="18" customHeight="1" x14ac:dyDescent="0.2">
      <c r="A124" s="195"/>
      <c r="B124" s="37" t="s">
        <v>57</v>
      </c>
      <c r="C124" s="60">
        <v>431.03289794921875</v>
      </c>
      <c r="D124" s="60">
        <v>281.53444671630859</v>
      </c>
      <c r="E124" s="60">
        <v>250.16609191894531</v>
      </c>
      <c r="F124" s="61">
        <v>319.6064453125</v>
      </c>
    </row>
    <row r="125" spans="1:15" ht="18" customHeight="1" x14ac:dyDescent="0.2">
      <c r="A125" s="195"/>
      <c r="B125" s="37" t="s">
        <v>58</v>
      </c>
      <c r="C125" s="33">
        <v>520.89422607421875</v>
      </c>
      <c r="D125" s="33">
        <v>195.21995544433594</v>
      </c>
      <c r="E125" s="33">
        <v>70.2965087890625</v>
      </c>
      <c r="F125" s="62">
        <v>243.41566467285156</v>
      </c>
    </row>
    <row r="126" spans="1:15" ht="18" customHeight="1" x14ac:dyDescent="0.2">
      <c r="A126" s="195"/>
      <c r="B126" s="37" t="s">
        <v>63</v>
      </c>
      <c r="C126" s="33">
        <f ca="1">1034.6788125*OFFSET($L$112,MATCH($N$1,$C$112:$C$113,0)-1,0)</f>
        <v>1034.6788125</v>
      </c>
      <c r="D126" s="33">
        <f ca="1">442.873578125*OFFSET($L$112,MATCH($N$1,$C$112:$C$113,0)-1,0)</f>
        <v>442.87357812499999</v>
      </c>
      <c r="E126" s="33">
        <f ca="1">166.468421875*OFFSET($L$112,MATCH($N$1,$C$112:$C$113,0)-1,0)</f>
        <v>166.46842187499999</v>
      </c>
      <c r="F126" s="62">
        <f ca="1">397.49009375*OFFSET($L$112,MATCH($N$1,$C$112:$C$113,0)-1,0)</f>
        <v>397.49009375000003</v>
      </c>
    </row>
    <row r="127" spans="1:15" ht="18" customHeight="1" x14ac:dyDescent="0.2">
      <c r="A127" s="195"/>
      <c r="B127" s="37" t="s">
        <v>60</v>
      </c>
      <c r="C127" s="60">
        <v>190.73684692382813</v>
      </c>
      <c r="D127" s="60">
        <v>178.63157653808594</v>
      </c>
      <c r="E127" s="60">
        <v>127.94736480712891</v>
      </c>
      <c r="F127" s="61">
        <v>135.81159973144531</v>
      </c>
    </row>
    <row r="128" spans="1:15" ht="18" customHeight="1" x14ac:dyDescent="0.2">
      <c r="A128" s="195"/>
      <c r="B128" s="37" t="s">
        <v>64</v>
      </c>
      <c r="C128" s="60">
        <v>36.555557250976563</v>
      </c>
      <c r="D128" s="60">
        <v>34.28801155090332</v>
      </c>
      <c r="E128" s="60">
        <v>41.842105865478516</v>
      </c>
      <c r="F128" s="61">
        <v>37.242424011230469</v>
      </c>
    </row>
    <row r="129" spans="1:15" ht="18" customHeight="1" x14ac:dyDescent="0.2">
      <c r="A129" s="195"/>
      <c r="B129" s="37" t="s">
        <v>65</v>
      </c>
      <c r="C129" s="63">
        <v>2.7309575080871582</v>
      </c>
      <c r="D129" s="63">
        <v>1.0928636427429905</v>
      </c>
      <c r="E129" s="63">
        <v>0.54941737651824951</v>
      </c>
      <c r="F129" s="64">
        <v>1.7923039197921753</v>
      </c>
    </row>
    <row r="130" spans="1:15" ht="18" customHeight="1" x14ac:dyDescent="0.2">
      <c r="A130" s="196"/>
      <c r="B130" s="39" t="s">
        <v>28</v>
      </c>
      <c r="C130" s="40">
        <f ca="1">1986.35108762479*OFFSET($L$112,MATCH($N$1,$C$112:$C$113,0)-1,0)</f>
        <v>1986.3510876247899</v>
      </c>
      <c r="D130" s="40">
        <f ca="1">2268.58764062816*OFFSET($L$112,MATCH($N$1,$C$112:$C$113,0)-1,0)</f>
        <v>2268.58764062816</v>
      </c>
      <c r="E130" s="40">
        <f ca="1">2368.08946479147*OFFSET($L$112,MATCH($N$1,$C$112:$C$113,0)-1,0)</f>
        <v>2368.0894647914702</v>
      </c>
      <c r="F130" s="65">
        <f ca="1">1633*OFFSET($L$112,MATCH($N$1,$C$112:$C$113,0)-1,0)</f>
        <v>1633</v>
      </c>
    </row>
    <row r="131" spans="1:15" ht="18" customHeight="1" x14ac:dyDescent="0.2">
      <c r="A131" s="205" t="s">
        <v>29</v>
      </c>
      <c r="B131" s="35" t="s">
        <v>66</v>
      </c>
      <c r="C131" s="66">
        <v>4.6449065418786555</v>
      </c>
      <c r="D131" s="66">
        <v>3.0076361019751814</v>
      </c>
      <c r="E131" s="66">
        <v>1.8137118225076803</v>
      </c>
      <c r="F131" s="67">
        <v>4.1249343774914333</v>
      </c>
    </row>
    <row r="132" spans="1:15" ht="18" customHeight="1" x14ac:dyDescent="0.2">
      <c r="A132" s="206"/>
      <c r="B132" s="37" t="s">
        <v>67</v>
      </c>
      <c r="C132" s="63">
        <f ca="1">9.22641516137619*OFFSET($L$112,MATCH($N$1,$C$112:$C$113,0)-1,0)</f>
        <v>9.22641516137619</v>
      </c>
      <c r="D132" s="63">
        <f ca="1">6.82308608844794*OFFSET($L$112,MATCH($N$1,$C$112:$C$113,0)-1,0)</f>
        <v>6.8230860884479396</v>
      </c>
      <c r="E132" s="63">
        <f ca="1">4.29503185904818*OFFSET($L$112,MATCH($N$1,$C$112:$C$113,0)-1,0)</f>
        <v>4.29503185904818</v>
      </c>
      <c r="F132" s="64">
        <f ca="1">6.73588757989468*OFFSET($L$112,MATCH($N$1,$C$112:$C$113,0)-1,0)</f>
        <v>6.7358875798946798</v>
      </c>
    </row>
    <row r="133" spans="1:15" ht="18" customHeight="1" x14ac:dyDescent="0.2">
      <c r="A133" s="206"/>
      <c r="B133" s="37" t="s">
        <v>11</v>
      </c>
      <c r="C133" s="63">
        <f ca="1">7.2228540027366*OFFSET($L$112,MATCH($N$1,$C$112:$C$113,0)-1,0)</f>
        <v>7.2228540027366002</v>
      </c>
      <c r="D133" s="63">
        <f ca="1">5.99254360484229*OFFSET($L$112,MATCH($N$1,$C$112:$C$113,0)-1,0)</f>
        <v>5.9925436048422904</v>
      </c>
      <c r="E133" s="63">
        <f ca="1">4.43082360643498*OFFSET($L$112,MATCH($N$1,$C$112:$C$113,0)-1,0)</f>
        <v>4.4308236064349797</v>
      </c>
      <c r="F133" s="64">
        <f ca="1">5.72839808710853*OFFSET($L$112,MATCH($N$1,$C$112:$C$113,0)-1,0)</f>
        <v>5.7283980871085296</v>
      </c>
    </row>
    <row r="134" spans="1:15" ht="18" customHeight="1" x14ac:dyDescent="0.2">
      <c r="A134" s="207"/>
      <c r="B134" s="39" t="s">
        <v>12</v>
      </c>
      <c r="C134" s="68">
        <f ca="1">2.00356115863959*OFFSET($L$112,MATCH($N$1,$C$112:$C$113,0)-1,0)</f>
        <v>2.0035611586395898</v>
      </c>
      <c r="D134" s="68">
        <f ca="1">0.830542483605653*OFFSET($L$112,MATCH($N$1,$C$112:$C$113,0)-1,0)</f>
        <v>0.83054248360565297</v>
      </c>
      <c r="E134" s="68">
        <f ca="1">-0.135791747386804*OFFSET($L$112,MATCH($N$1,$C$112:$C$113,0)-1,0)</f>
        <v>-0.135791747386804</v>
      </c>
      <c r="F134" s="69">
        <f ca="1">1.00748949278615*OFFSET($L$112,MATCH($N$1,$C$112:$C$113,0)-1,0)</f>
        <v>1.00748949278615</v>
      </c>
    </row>
    <row r="135" spans="1:15" ht="18" customHeight="1" x14ac:dyDescent="0.2">
      <c r="A135" s="208" t="s">
        <v>49</v>
      </c>
      <c r="B135" s="37" t="s">
        <v>109</v>
      </c>
      <c r="C135" s="70">
        <f ca="1">130.5928671875*OFFSET($L$112,MATCH($N$1,$C$112:$C$113,0)-1,0)</f>
        <v>130.59286718749999</v>
      </c>
      <c r="D135" s="70">
        <f ca="1">98.16087890625*OFFSET($L$112,MATCH($N$1,$C$112:$C$113,0)-1,0)</f>
        <v>98.160878906250005</v>
      </c>
      <c r="E135" s="70">
        <f ca="1">62.42345703125*OFFSET($L$112,MATCH($N$1,$C$112:$C$113,0)-1,0)</f>
        <v>62.423457031250003</v>
      </c>
      <c r="F135" s="71">
        <f ca="1">57.8562578125*OFFSET($L$112,MATCH($N$1,$C$112:$C$113,0)-1,0)</f>
        <v>57.856257812499997</v>
      </c>
    </row>
    <row r="136" spans="1:15" ht="18" customHeight="1" x14ac:dyDescent="0.2">
      <c r="A136" s="209"/>
      <c r="B136" s="37" t="s">
        <v>110</v>
      </c>
      <c r="C136" s="31">
        <v>251071.06534771618</v>
      </c>
      <c r="D136" s="31">
        <v>188794.73923807219</v>
      </c>
      <c r="E136" s="31">
        <v>119852.62452191627</v>
      </c>
      <c r="F136" s="72">
        <v>156102.89855072464</v>
      </c>
    </row>
    <row r="137" spans="1:15" ht="18" customHeight="1" x14ac:dyDescent="0.2">
      <c r="A137" s="209"/>
      <c r="B137" s="37" t="s">
        <v>111</v>
      </c>
      <c r="C137" s="31">
        <v>1316.32177734375</v>
      </c>
      <c r="D137" s="31">
        <v>1056.8945474084162</v>
      </c>
      <c r="E137" s="31">
        <v>936.73382568359375</v>
      </c>
      <c r="F137" s="72">
        <v>1149.40771484375</v>
      </c>
    </row>
    <row r="138" spans="1:15" ht="18" customHeight="1" x14ac:dyDescent="0.2">
      <c r="A138" s="209"/>
      <c r="B138" s="37" t="s">
        <v>112</v>
      </c>
      <c r="C138" s="31">
        <f ca="1">684.675610893647*OFFSET($L$112,MATCH($N$1,$C$112:$C$113,0)-1,0)</f>
        <v>684.67561089364699</v>
      </c>
      <c r="D138" s="31">
        <f ca="1">549.515829220268*OFFSET($L$112,MATCH($N$1,$C$112:$C$113,0)-1,0)</f>
        <v>549.51582922026796</v>
      </c>
      <c r="E138" s="31">
        <f ca="1">487.883881980287*OFFSET($L$112,MATCH($N$1,$C$112:$C$113,0)-1,0)</f>
        <v>487.88388198028701</v>
      </c>
      <c r="F138" s="72">
        <f ca="1">426.003801787957*OFFSET($L$112,MATCH($N$1,$C$112:$C$113,0)-1,0)</f>
        <v>426.003801787957</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250.708993593054*OFFSET($L$112,MATCH($N$1,$C$112:$C$113,0)-1,0)</f>
        <v>250.708993593054</v>
      </c>
      <c r="D139" s="31">
        <f ca="1">502.821951182338*OFFSET($L$112,MATCH($N$1,$C$112:$C$113,0)-1,0)</f>
        <v>502.82195118233801</v>
      </c>
      <c r="E139" s="31">
        <f ca="1">888.002236619787*OFFSET($L$112,MATCH($N$1,$C$112:$C$113,0)-1,0)</f>
        <v>888.00223661978703</v>
      </c>
      <c r="F139" s="72">
        <f ca="1">237.68502281995*OFFSET($L$112,MATCH($N$1,$C$112:$C$113,0)-1,0)</f>
        <v>237.68502281995001</v>
      </c>
      <c r="I139" s="48"/>
      <c r="K139" s="73" t="s">
        <v>114</v>
      </c>
      <c r="L139" s="74">
        <f t="shared" ref="L139:M141" ca="1" si="2">C140</f>
        <v>1061.321625</v>
      </c>
      <c r="M139" s="74">
        <f t="shared" ca="1" si="2"/>
        <v>454.27748437499997</v>
      </c>
      <c r="N139" s="74">
        <f ca="1">E140</f>
        <v>170.75495312499999</v>
      </c>
      <c r="O139" s="74"/>
    </row>
    <row r="140" spans="1:15" ht="18" customHeight="1" x14ac:dyDescent="0.2">
      <c r="A140" s="187" t="s">
        <v>50</v>
      </c>
      <c r="B140" s="35" t="s">
        <v>115</v>
      </c>
      <c r="C140" s="75">
        <f ca="1">1061.321625*OFFSET($L$112,MATCH($N$1,$C$112:$C$113,0)-1,0)</f>
        <v>1061.321625</v>
      </c>
      <c r="D140" s="75">
        <f ca="1">454.277484375*OFFSET($L$112,MATCH($N$1,$C$112:$C$113,0)-1,0)</f>
        <v>454.27748437499997</v>
      </c>
      <c r="E140" s="75">
        <f ca="1">170.754953125*OFFSET($L$112,MATCH($N$1,$C$112:$C$113,0)-1,0)</f>
        <v>170.75495312499999</v>
      </c>
      <c r="F140" s="76">
        <f ca="1">421.0541875*OFFSET($L$112,MATCH($N$1,$C$112:$C$113,0)-1,0)</f>
        <v>421.05418750000001</v>
      </c>
      <c r="I140" s="48"/>
      <c r="K140" s="73" t="s">
        <v>116</v>
      </c>
      <c r="L140" s="74">
        <f t="shared" ca="1" si="2"/>
        <v>836.63606249999998</v>
      </c>
      <c r="M140" s="74">
        <f t="shared" ca="1" si="2"/>
        <v>400.36854687499999</v>
      </c>
      <c r="N140" s="74">
        <f ca="1">E141</f>
        <v>176.01803125000001</v>
      </c>
      <c r="O140" s="74"/>
    </row>
    <row r="141" spans="1:15" ht="18" customHeight="1" x14ac:dyDescent="0.2">
      <c r="A141" s="188"/>
      <c r="B141" s="37" t="s">
        <v>117</v>
      </c>
      <c r="C141" s="31">
        <f ca="1">836.6360625*OFFSET($L$112,MATCH($N$1,$C$112:$C$113,0)-1,0)</f>
        <v>836.63606249999998</v>
      </c>
      <c r="D141" s="31">
        <f ca="1">400.368546875*OFFSET($L$112,MATCH($N$1,$C$112:$C$113,0)-1,0)</f>
        <v>400.36854687499999</v>
      </c>
      <c r="E141" s="31">
        <f ca="1">176.01803125*OFFSET($L$112,MATCH($N$1,$C$112:$C$113,0)-1,0)</f>
        <v>176.01803125000001</v>
      </c>
      <c r="F141" s="72">
        <f ca="1">361.6014375*OFFSET($L$112,MATCH($N$1,$C$112:$C$113,0)-1,0)</f>
        <v>361.60143749999997</v>
      </c>
      <c r="I141" s="48"/>
      <c r="K141" s="73" t="s">
        <v>118</v>
      </c>
      <c r="L141" s="74">
        <f t="shared" ca="1" si="2"/>
        <v>224.6855625</v>
      </c>
      <c r="M141" s="74">
        <f t="shared" ca="1" si="2"/>
        <v>53.9089375</v>
      </c>
      <c r="N141" s="74">
        <f ca="1">E142</f>
        <v>-5.2630781249999998</v>
      </c>
      <c r="O141" s="74"/>
    </row>
    <row r="142" spans="1:15" ht="18" customHeight="1" x14ac:dyDescent="0.2">
      <c r="A142" s="189"/>
      <c r="B142" s="39" t="s">
        <v>119</v>
      </c>
      <c r="C142" s="40">
        <f ca="1">224.6855625*OFFSET($L$112,MATCH($N$1,$C$112:$C$113,0)-1,0)</f>
        <v>224.6855625</v>
      </c>
      <c r="D142" s="40">
        <f ca="1">53.9089375*OFFSET($L$112,MATCH($N$1,$C$112:$C$113,0)-1,0)</f>
        <v>53.9089375</v>
      </c>
      <c r="E142" s="40">
        <f ca="1">-5.263078125*OFFSET($L$112,MATCH($N$1,$C$112:$C$113,0)-1,0)</f>
        <v>-5.2630781249999998</v>
      </c>
      <c r="F142" s="65">
        <f ca="1">59.4527578125*OFFSET($L$112,MATCH($N$1,$C$112:$C$113,0)-1,0)</f>
        <v>59.452757812500003</v>
      </c>
      <c r="I142" s="48"/>
      <c r="K142" s="73" t="s">
        <v>120</v>
      </c>
      <c r="L142" s="77">
        <f ca="1">IFERROR(L140/L$139,"")</f>
        <v>0.7882964435969162</v>
      </c>
      <c r="M142" s="77">
        <f t="shared" ref="M142:N143" ca="1" si="3">IFERROR(M140/M$139,"")</f>
        <v>0.88133037767837319</v>
      </c>
      <c r="N142" s="77">
        <f t="shared" ca="1" si="3"/>
        <v>1.0308224038523042</v>
      </c>
      <c r="O142" s="77"/>
    </row>
    <row r="143" spans="1:15" ht="18" customHeight="1" x14ac:dyDescent="0.2">
      <c r="I143" s="48"/>
      <c r="K143" s="73" t="s">
        <v>121</v>
      </c>
      <c r="L143" s="77">
        <f ca="1">IFERROR(L141/L$139,"")</f>
        <v>0.21170355640308375</v>
      </c>
      <c r="M143" s="77">
        <f t="shared" ca="1" si="3"/>
        <v>0.11866962232162688</v>
      </c>
      <c r="N143" s="77">
        <f t="shared" ca="1" si="3"/>
        <v>-3.0822403852304066E-2</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10</v>
      </c>
      <c r="B161" s="53"/>
      <c r="C161" s="78" t="s">
        <v>45</v>
      </c>
      <c r="D161" s="78" t="s">
        <v>122</v>
      </c>
      <c r="E161" s="78" t="s">
        <v>47</v>
      </c>
      <c r="F161" s="78" t="s">
        <v>123</v>
      </c>
      <c r="G161" s="79">
        <v>8</v>
      </c>
      <c r="H161" s="78"/>
      <c r="I161" s="78" t="s">
        <v>45</v>
      </c>
      <c r="J161" s="78" t="s">
        <v>122</v>
      </c>
      <c r="K161" s="78" t="s">
        <v>47</v>
      </c>
      <c r="L161" s="53" t="s">
        <v>123</v>
      </c>
      <c r="R161" s="21"/>
      <c r="S161" s="21"/>
    </row>
    <row r="162" spans="1:19" s="48" customFormat="1" x14ac:dyDescent="0.2">
      <c r="A162" s="49">
        <v>1</v>
      </c>
      <c r="B162" s="53" t="s">
        <v>100</v>
      </c>
      <c r="C162" s="53">
        <v>0.32787531187965724</v>
      </c>
      <c r="D162" s="53">
        <v>0.91206989698570873</v>
      </c>
      <c r="E162" s="53">
        <v>0.84761055412073938</v>
      </c>
      <c r="F162" s="49">
        <v>12153634</v>
      </c>
      <c r="G162" s="49">
        <v>1</v>
      </c>
      <c r="H162" s="53" t="s">
        <v>100</v>
      </c>
      <c r="I162" s="53">
        <v>0.33501614287570952</v>
      </c>
      <c r="J162" s="53">
        <v>0.95045307088175568</v>
      </c>
      <c r="K162" s="53">
        <v>0.86878879833600642</v>
      </c>
      <c r="L162" s="49">
        <v>12153634</v>
      </c>
      <c r="R162" s="21"/>
      <c r="S162" s="21"/>
    </row>
    <row r="163" spans="1:19" s="48" customFormat="1" x14ac:dyDescent="0.2">
      <c r="A163" s="49">
        <v>2</v>
      </c>
      <c r="B163" s="53" t="s">
        <v>105</v>
      </c>
      <c r="C163" s="53">
        <v>0.12900819506166944</v>
      </c>
      <c r="D163" s="53">
        <v>7.487848214461057E-2</v>
      </c>
      <c r="E163" s="53">
        <v>0.14183310286418491</v>
      </c>
      <c r="F163" s="49">
        <v>553960</v>
      </c>
      <c r="G163" s="49">
        <v>2</v>
      </c>
      <c r="H163" s="53" t="s">
        <v>105</v>
      </c>
      <c r="I163" s="53">
        <v>3.5727375337194583E-2</v>
      </c>
      <c r="J163" s="53">
        <v>2.2312928151510772E-2</v>
      </c>
      <c r="K163" s="53">
        <v>5.6040879723460876E-2</v>
      </c>
      <c r="L163" s="49">
        <v>553960</v>
      </c>
      <c r="N163" s="48" t="s">
        <v>124</v>
      </c>
      <c r="R163" s="21"/>
      <c r="S163" s="21"/>
    </row>
    <row r="164" spans="1:19" s="48" customFormat="1" x14ac:dyDescent="0.2">
      <c r="A164" s="49">
        <v>3</v>
      </c>
      <c r="B164" s="53" t="s">
        <v>143</v>
      </c>
      <c r="C164" s="53">
        <v>1.1685775018173039E-3</v>
      </c>
      <c r="D164" s="53">
        <v>3.889279365001122E-3</v>
      </c>
      <c r="E164" s="53">
        <v>1.3054403101673241E-3</v>
      </c>
      <c r="F164" s="49">
        <v>3689192</v>
      </c>
      <c r="G164" s="49">
        <v>3</v>
      </c>
      <c r="H164" s="53" t="s">
        <v>147</v>
      </c>
      <c r="I164" s="53">
        <v>8.1049963796754187E-4</v>
      </c>
      <c r="J164" s="53">
        <v>7.5012437176130153E-3</v>
      </c>
      <c r="K164" s="53">
        <v>2.7538784719540587E-3</v>
      </c>
      <c r="L164" s="49">
        <v>3050596</v>
      </c>
      <c r="N164" s="48" t="s">
        <v>125</v>
      </c>
      <c r="R164" s="21"/>
      <c r="S164" s="21"/>
    </row>
    <row r="165" spans="1:19" s="48" customFormat="1" x14ac:dyDescent="0.2">
      <c r="A165" s="49">
        <v>4</v>
      </c>
      <c r="B165" s="53" t="s">
        <v>103</v>
      </c>
      <c r="C165" s="53">
        <v>0</v>
      </c>
      <c r="D165" s="53">
        <v>2.2152058138604157E-3</v>
      </c>
      <c r="E165" s="53">
        <v>0</v>
      </c>
      <c r="F165" s="49">
        <v>11115023</v>
      </c>
      <c r="G165" s="49">
        <v>4</v>
      </c>
      <c r="H165" s="53" t="s">
        <v>144</v>
      </c>
      <c r="I165" s="53">
        <v>0</v>
      </c>
      <c r="J165" s="53">
        <v>6.9385055671220032E-3</v>
      </c>
      <c r="K165" s="53">
        <v>3.4023974800405001E-3</v>
      </c>
      <c r="L165" s="49">
        <v>1692097</v>
      </c>
      <c r="R165" s="21"/>
      <c r="S165" s="21"/>
    </row>
    <row r="166" spans="1:19" s="48" customFormat="1" x14ac:dyDescent="0.2">
      <c r="A166" s="49">
        <v>5</v>
      </c>
      <c r="B166" s="53" t="s">
        <v>147</v>
      </c>
      <c r="C166" s="53">
        <v>0</v>
      </c>
      <c r="D166" s="53">
        <v>1.4764982733985175E-3</v>
      </c>
      <c r="E166" s="53">
        <v>0</v>
      </c>
      <c r="F166" s="49">
        <v>3050596</v>
      </c>
      <c r="G166" s="49">
        <v>5</v>
      </c>
      <c r="H166" s="53" t="s">
        <v>143</v>
      </c>
      <c r="I166" s="53">
        <v>1.5994056228336227E-3</v>
      </c>
      <c r="J166" s="53">
        <v>5.6741107027292459E-3</v>
      </c>
      <c r="K166" s="53">
        <v>1.8343854474482109E-3</v>
      </c>
      <c r="L166" s="49">
        <v>3689192</v>
      </c>
      <c r="R166" s="21"/>
      <c r="S166" s="21"/>
    </row>
    <row r="167" spans="1:19" s="48" customFormat="1" x14ac:dyDescent="0.2">
      <c r="A167" s="49">
        <v>6</v>
      </c>
      <c r="B167" s="53" t="s">
        <v>127</v>
      </c>
      <c r="C167" s="53">
        <v>0</v>
      </c>
      <c r="D167" s="53">
        <v>0</v>
      </c>
      <c r="E167" s="53">
        <v>5.3377358358987865E-3</v>
      </c>
      <c r="F167" s="49">
        <v>2480382</v>
      </c>
      <c r="G167" s="49">
        <v>6</v>
      </c>
      <c r="H167" s="53" t="s">
        <v>102</v>
      </c>
      <c r="I167" s="53">
        <v>9.096103839297318E-4</v>
      </c>
      <c r="J167" s="53">
        <v>0</v>
      </c>
      <c r="K167" s="53">
        <v>0</v>
      </c>
      <c r="L167" s="49">
        <v>7434864</v>
      </c>
      <c r="R167" s="21"/>
      <c r="S167" s="21"/>
    </row>
    <row r="168" spans="1:19" s="48" customFormat="1" x14ac:dyDescent="0.2">
      <c r="A168" s="49">
        <v>7</v>
      </c>
      <c r="B168" s="53" t="s">
        <v>102</v>
      </c>
      <c r="C168" s="53">
        <v>9.6764775144585072E-4</v>
      </c>
      <c r="D168" s="53">
        <v>0</v>
      </c>
      <c r="E168" s="53">
        <v>9.2263977729585111E-4</v>
      </c>
      <c r="F168" s="49">
        <v>7434864</v>
      </c>
      <c r="G168" s="49">
        <v>7</v>
      </c>
      <c r="H168" s="53" t="s">
        <v>107</v>
      </c>
      <c r="I168" s="53">
        <v>0.62593696614236505</v>
      </c>
      <c r="J168" s="53">
        <v>7.1201409792692738E-3</v>
      </c>
      <c r="K168" s="53">
        <v>6.7179660541090036E-2</v>
      </c>
      <c r="L168" s="49">
        <v>5920853</v>
      </c>
      <c r="R168" s="21"/>
      <c r="S168" s="21"/>
    </row>
    <row r="169" spans="1:19" s="48" customFormat="1" x14ac:dyDescent="0.2">
      <c r="A169" s="49">
        <v>8</v>
      </c>
      <c r="B169" s="53" t="s">
        <v>128</v>
      </c>
      <c r="C169" s="53">
        <v>4.1799575933211623E-4</v>
      </c>
      <c r="D169" s="53">
        <v>0</v>
      </c>
      <c r="E169" s="53">
        <v>0</v>
      </c>
      <c r="F169" s="49">
        <v>8497745</v>
      </c>
      <c r="G169" s="49">
        <v>8</v>
      </c>
      <c r="H169" s="53"/>
      <c r="I169" s="53">
        <v>0</v>
      </c>
      <c r="J169" s="53">
        <v>0</v>
      </c>
      <c r="K169" s="53">
        <v>0</v>
      </c>
      <c r="L169" s="49"/>
      <c r="R169" s="21"/>
      <c r="S169" s="21"/>
    </row>
    <row r="170" spans="1:19" s="48" customFormat="1" x14ac:dyDescent="0.2">
      <c r="A170" s="49">
        <v>9</v>
      </c>
      <c r="B170" s="53" t="s">
        <v>107</v>
      </c>
      <c r="C170" s="53">
        <v>0.5405622720460781</v>
      </c>
      <c r="D170" s="53">
        <v>5.4706374174207095E-3</v>
      </c>
      <c r="E170" s="53">
        <v>2.9905270917136573E-3</v>
      </c>
      <c r="F170" s="49">
        <v>5920853</v>
      </c>
      <c r="G170" s="49">
        <v>9</v>
      </c>
      <c r="H170" s="53"/>
      <c r="I170" s="53">
        <v>0</v>
      </c>
      <c r="J170" s="53">
        <v>0</v>
      </c>
      <c r="K170" s="53">
        <v>0</v>
      </c>
      <c r="L170" s="49"/>
      <c r="R170" s="21"/>
      <c r="S170" s="21"/>
    </row>
    <row r="171" spans="1:19" s="48" customFormat="1" x14ac:dyDescent="0.2">
      <c r="A171" s="49">
        <v>10</v>
      </c>
      <c r="B171" s="53"/>
      <c r="C171" s="53">
        <v>0</v>
      </c>
      <c r="D171" s="53">
        <v>0</v>
      </c>
      <c r="E171" s="53">
        <v>0</v>
      </c>
      <c r="F171" s="49"/>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2B8C7C8C-0536-499B-976E-45CFC9160AC9}">
      <formula1>$C$112:$C$113</formula1>
    </dataValidation>
  </dataValidations>
  <hyperlinks>
    <hyperlink ref="O1:P1" location="Home_page" display="Back to home page" xr:uid="{088E1E41-C530-4478-8417-B051DB2FD638}"/>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31DBA7E4-ED7C-42CB-9BFC-B1A70C658EFC}">
          <x14:colorSeries rgb="FF323232"/>
          <x14:colorNegative rgb="FFD00000"/>
          <x14:colorAxis rgb="FF000000"/>
          <x14:colorMarkers rgb="FFD00000"/>
          <x14:colorFirst rgb="FFD00000"/>
          <x14:colorLast rgb="FFD00000"/>
          <x14:colorHigh rgb="FFD00000"/>
          <x14:colorLow rgb="FFD00000"/>
          <x14:sparklines>
            <x14:sparkline>
              <xm:f>'UK scallop dredge over 15m'!D3:N3</xm:f>
              <xm:sqref>C3</xm:sqref>
            </x14:sparkline>
            <x14:sparkline>
              <xm:f>'UK scallop dredge over 15m'!D4:N4</xm:f>
              <xm:sqref>C4</xm:sqref>
            </x14:sparkline>
            <x14:sparkline>
              <xm:f>'UK scallop dredge over 15m'!D5:N5</xm:f>
              <xm:sqref>C5</xm:sqref>
            </x14:sparkline>
            <x14:sparkline>
              <xm:f>'UK scallop dredge over 15m'!D6:N6</xm:f>
              <xm:sqref>C6</xm:sqref>
            </x14:sparkline>
            <x14:sparkline>
              <xm:f>'UK scallop dredge over 15m'!D7:N7</xm:f>
              <xm:sqref>C7</xm:sqref>
            </x14:sparkline>
            <x14:sparkline>
              <xm:f>'UK scallop dredge over 15m'!D8:N8</xm:f>
              <xm:sqref>C8</xm:sqref>
            </x14:sparkline>
            <x14:sparkline>
              <xm:f>'UK scallop dredge over 15m'!D9:N9</xm:f>
              <xm:sqref>C9</xm:sqref>
            </x14:sparkline>
            <x14:sparkline>
              <xm:f>'UK scallop dredge over 15m'!D10:N10</xm:f>
              <xm:sqref>C10</xm:sqref>
            </x14:sparkline>
            <x14:sparkline>
              <xm:f>'UK scallop dredge over 15m'!D11:N11</xm:f>
              <xm:sqref>C11</xm:sqref>
            </x14:sparkline>
            <x14:sparkline>
              <xm:f>'UK scallop dredge over 15m'!D12:N12</xm:f>
              <xm:sqref>C12</xm:sqref>
            </x14:sparkline>
            <x14:sparkline>
              <xm:f>'UK scallop dredge over 15m'!D13:N13</xm:f>
              <xm:sqref>C13</xm:sqref>
            </x14:sparkline>
            <x14:sparkline>
              <xm:f>'UK scallop dredge over 15m'!D14:N14</xm:f>
              <xm:sqref>C14</xm:sqref>
            </x14:sparkline>
            <x14:sparkline>
              <xm:f>'UK scallop dredge over 15m'!D15:N15</xm:f>
              <xm:sqref>C15</xm:sqref>
            </x14:sparkline>
            <x14:sparkline>
              <xm:f>'UK scallop dredge over 15m'!D16:N16</xm:f>
              <xm:sqref>C16</xm:sqref>
            </x14:sparkline>
            <x14:sparkline>
              <xm:f>'UK scallop dredge over 15m'!D17:N17</xm:f>
              <xm:sqref>C17</xm:sqref>
            </x14:sparkline>
            <x14:sparkline>
              <xm:f>'UK scallop dredge over 15m'!D18:N18</xm:f>
              <xm:sqref>C18</xm:sqref>
            </x14:sparkline>
            <x14:sparkline>
              <xm:f>'UK scallop dredge over 15m'!D19:N19</xm:f>
              <xm:sqref>C19</xm:sqref>
            </x14:sparkline>
            <x14:sparkline>
              <xm:f>'UK scallop dredge over 15m'!D20:N20</xm:f>
              <xm:sqref>C20</xm:sqref>
            </x14:sparkline>
            <x14:sparkline>
              <xm:f>'UK scallop dredge over 15m'!D21:N21</xm:f>
              <xm:sqref>C21</xm:sqref>
            </x14:sparkline>
            <x14:sparkline>
              <xm:f>'UK scallop dredge over 15m'!D22:N22</xm:f>
              <xm:sqref>C22</xm:sqref>
            </x14:sparkline>
            <x14:sparkline>
              <xm:f>'UK scallop dredge over 15m'!D23:N23</xm:f>
              <xm:sqref>C23</xm:sqref>
            </x14:sparkline>
            <x14:sparkline>
              <xm:f>'UK scallop dredge over 15m'!D24:N24</xm:f>
              <xm:sqref>C24</xm:sqref>
            </x14:sparkline>
            <x14:sparkline>
              <xm:f>'UK scallop dredge over 15m'!D25:N25</xm:f>
              <xm:sqref>C25</xm:sqref>
            </x14:sparkline>
            <x14:sparkline>
              <xm:f>'UK scallop dredge over 15m'!D26:N26</xm:f>
              <xm:sqref>C26</xm:sqref>
            </x14:sparkline>
            <x14:sparkline>
              <xm:f>'UK scallop dredge over 15m'!D27:N27</xm:f>
              <xm:sqref>C27</xm:sqref>
            </x14:sparkline>
            <x14:sparkline>
              <xm:f>'UK scallop dredge over 15m'!D28:N28</xm:f>
              <xm:sqref>C28</xm:sqref>
            </x14:sparkline>
            <x14:sparkline>
              <xm:f>'UK scallop dredge over 15m'!D29:N29</xm:f>
              <xm:sqref>C29</xm:sqref>
            </x14:sparkline>
            <x14:sparkline>
              <xm:f>'UK scallop dredge over 15m'!D30:N30</xm:f>
              <xm:sqref>C30</xm:sqref>
            </x14:sparkline>
            <x14:sparkline>
              <xm:f>'UK scallop dredge over 15m'!D31:N31</xm:f>
              <xm:sqref>C31</xm:sqref>
            </x14:sparkline>
            <x14:sparkline>
              <xm:f>'UK scallop dredge over 15m'!D32:N32</xm:f>
              <xm:sqref>C32</xm:sqref>
            </x14:sparkline>
            <x14:sparkline>
              <xm:f>'UK scallop dredge over 15m'!D33:N33</xm:f>
              <xm:sqref>C33</xm:sqref>
            </x14:sparkline>
            <x14:sparkline>
              <xm:f>'UK scallop dredge over 15m'!D34:N34</xm:f>
              <xm:sqref>C34</xm:sqref>
            </x14:sparkline>
            <x14:sparkline>
              <xm:f>'UK scallop dredge over 15m'!D35:N35</xm:f>
              <xm:sqref>C35</xm:sqref>
            </x14:sparkline>
            <x14:sparkline>
              <xm:f>'UK scallop dredge over 15m'!D36:N36</xm:f>
              <xm:sqref>C36</xm:sqref>
            </x14:sparkline>
            <x14:sparkline>
              <xm:f>'UK scallop dredge over 15m'!D37:N37</xm:f>
              <xm:sqref>C37</xm:sqref>
            </x14:sparkline>
            <x14:sparkline>
              <xm:f>'UK scallop dredge over 15m'!D38:N38</xm:f>
              <xm:sqref>C38</xm:sqref>
            </x14:sparkline>
            <x14:sparkline>
              <xm:f>'UK scallop dredge over 15m'!D39:N39</xm:f>
              <xm:sqref>C39</xm:sqref>
            </x14:sparkline>
            <x14:sparkline>
              <xm:f>'UK scallop dredge over 15m'!D40:N40</xm:f>
              <xm:sqref>C40</xm:sqref>
            </x14:sparkline>
            <x14:sparkline>
              <xm:f>'UK scallop dredge over 15m'!D41:N41</xm:f>
              <xm:sqref>C41</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C84A7-8A9B-4A9D-B5BE-5C928DE52298}">
  <sheetPr codeName="Feuil43">
    <pageSetUpPr fitToPage="1"/>
  </sheetPr>
  <dimension ref="A1:C25"/>
  <sheetViews>
    <sheetView workbookViewId="0"/>
  </sheetViews>
  <sheetFormatPr defaultColWidth="8.625" defaultRowHeight="15" x14ac:dyDescent="0.25"/>
  <cols>
    <col min="1" max="1" width="90" style="153" customWidth="1"/>
    <col min="2" max="2" width="11.875" style="26" customWidth="1"/>
    <col min="3" max="16384" width="8.625" style="153"/>
  </cols>
  <sheetData>
    <row r="1" spans="1:3" ht="26.25" thickBot="1" x14ac:dyDescent="0.3">
      <c r="A1" s="159" t="s">
        <v>603</v>
      </c>
      <c r="B1" s="154"/>
      <c r="C1" s="152" t="s">
        <v>3</v>
      </c>
    </row>
    <row r="2" spans="1:3" x14ac:dyDescent="0.25">
      <c r="A2" s="181"/>
      <c r="B2" s="181"/>
      <c r="C2" s="181"/>
    </row>
    <row r="3" spans="1:3" x14ac:dyDescent="0.25">
      <c r="A3" s="182" t="s">
        <v>604</v>
      </c>
      <c r="B3" s="182"/>
      <c r="C3" s="182"/>
    </row>
    <row r="4" spans="1:3" x14ac:dyDescent="0.25">
      <c r="A4" s="26"/>
      <c r="C4" s="26"/>
    </row>
    <row r="5" spans="1:3" ht="15.75" x14ac:dyDescent="0.25">
      <c r="A5" s="160" t="s">
        <v>638</v>
      </c>
      <c r="B5" s="161"/>
      <c r="C5" s="161"/>
    </row>
    <row r="6" spans="1:3" ht="47.25" x14ac:dyDescent="0.25">
      <c r="A6" s="162" t="s">
        <v>639</v>
      </c>
      <c r="B6" s="161"/>
      <c r="C6" s="161"/>
    </row>
    <row r="7" spans="1:3" x14ac:dyDescent="0.25">
      <c r="A7" s="183"/>
      <c r="B7" s="183"/>
      <c r="C7" s="183"/>
    </row>
    <row r="8" spans="1:3" ht="15.75" x14ac:dyDescent="0.25">
      <c r="A8" s="160" t="s">
        <v>640</v>
      </c>
      <c r="B8" s="163"/>
      <c r="C8" s="163"/>
    </row>
    <row r="9" spans="1:3" ht="23.1" customHeight="1" x14ac:dyDescent="0.25">
      <c r="A9" s="164" t="s">
        <v>641</v>
      </c>
      <c r="B9" s="165"/>
      <c r="C9" s="165"/>
    </row>
    <row r="10" spans="1:3" ht="38.1" customHeight="1" x14ac:dyDescent="0.25">
      <c r="A10" s="164" t="s">
        <v>642</v>
      </c>
      <c r="B10" s="165"/>
      <c r="C10" s="165"/>
    </row>
    <row r="11" spans="1:3" ht="69.599999999999994" customHeight="1" x14ac:dyDescent="0.25">
      <c r="A11" s="164" t="s">
        <v>648</v>
      </c>
      <c r="B11" s="161"/>
      <c r="C11" s="161"/>
    </row>
    <row r="12" spans="1:3" ht="15.75" x14ac:dyDescent="0.25">
      <c r="A12" s="160" t="s">
        <v>34</v>
      </c>
      <c r="B12" s="161"/>
      <c r="C12" s="161"/>
    </row>
    <row r="13" spans="1:3" ht="63" x14ac:dyDescent="0.25">
      <c r="A13" s="164" t="s">
        <v>649</v>
      </c>
      <c r="B13" s="161"/>
      <c r="C13" s="161"/>
    </row>
    <row r="14" spans="1:3" ht="58.7" customHeight="1" x14ac:dyDescent="0.25">
      <c r="A14" s="164" t="s">
        <v>643</v>
      </c>
      <c r="B14" s="161"/>
      <c r="C14" s="161"/>
    </row>
    <row r="15" spans="1:3" ht="15.75" x14ac:dyDescent="0.25">
      <c r="A15" s="160" t="s">
        <v>644</v>
      </c>
      <c r="B15" s="161"/>
      <c r="C15" s="161"/>
    </row>
    <row r="16" spans="1:3" ht="39" customHeight="1" x14ac:dyDescent="0.25">
      <c r="A16" s="164" t="s">
        <v>650</v>
      </c>
      <c r="B16" s="166"/>
      <c r="C16" s="166"/>
    </row>
    <row r="17" spans="1:3" ht="15.75" x14ac:dyDescent="0.25">
      <c r="A17" s="160" t="s">
        <v>645</v>
      </c>
      <c r="B17" s="165"/>
      <c r="C17" s="165"/>
    </row>
    <row r="18" spans="1:3" ht="31.5" x14ac:dyDescent="0.25">
      <c r="A18" s="164" t="s">
        <v>646</v>
      </c>
      <c r="B18" s="165"/>
      <c r="C18" s="165"/>
    </row>
    <row r="19" spans="1:3" ht="31.5" x14ac:dyDescent="0.25">
      <c r="A19" s="164" t="s">
        <v>647</v>
      </c>
      <c r="B19" s="166"/>
      <c r="C19" s="166"/>
    </row>
    <row r="20" spans="1:3" x14ac:dyDescent="0.25">
      <c r="A20" s="165"/>
      <c r="B20" s="165"/>
      <c r="C20" s="165"/>
    </row>
    <row r="21" spans="1:3" x14ac:dyDescent="0.25">
      <c r="A21" s="167" t="s">
        <v>605</v>
      </c>
      <c r="B21" s="165"/>
      <c r="C21" s="165"/>
    </row>
    <row r="22" spans="1:3" x14ac:dyDescent="0.25">
      <c r="B22" s="153"/>
    </row>
    <row r="23" spans="1:3" x14ac:dyDescent="0.25">
      <c r="B23" s="153"/>
    </row>
    <row r="24" spans="1:3" x14ac:dyDescent="0.25">
      <c r="B24" s="153"/>
    </row>
    <row r="25" spans="1:3" x14ac:dyDescent="0.25">
      <c r="A25" s="181"/>
      <c r="B25" s="181"/>
      <c r="C25" s="181"/>
    </row>
  </sheetData>
  <mergeCells count="4">
    <mergeCell ref="A2:C2"/>
    <mergeCell ref="A3:C3"/>
    <mergeCell ref="A7:C7"/>
    <mergeCell ref="A25:C25"/>
  </mergeCells>
  <hyperlinks>
    <hyperlink ref="C1" location="Home_page" display="Back to_x000a_home page" xr:uid="{0189FDC4-6EF4-400D-BE55-CCCDF39114DF}"/>
  </hyperlinks>
  <printOptions horizontalCentered="1"/>
  <pageMargins left="0.70866141732283472" right="0.70866141732283472" top="0.74803149606299213" bottom="0.74803149606299213" header="0.31496062992125984" footer="0.31496062992125984"/>
  <pageSetup paperSize="9" scale="86"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4EBCA-EF86-43BD-B56D-581E509FD554}">
  <sheetPr codeName="Feuil32">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443</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183</v>
      </c>
      <c r="E3" s="28">
        <v>158</v>
      </c>
      <c r="F3" s="28">
        <v>197</v>
      </c>
      <c r="G3" s="28">
        <v>192</v>
      </c>
      <c r="H3" s="28">
        <v>226</v>
      </c>
      <c r="I3" s="28">
        <v>181</v>
      </c>
      <c r="J3" s="28">
        <v>210</v>
      </c>
      <c r="K3" s="28">
        <v>211</v>
      </c>
      <c r="L3" s="28">
        <v>189</v>
      </c>
      <c r="M3" s="28">
        <v>156</v>
      </c>
      <c r="N3" s="28">
        <v>171</v>
      </c>
      <c r="O3" s="29">
        <f t="shared" ref="O3:O41" si="0">IF(N3=0,"",IFERROR(IF(AND(N3&gt;0,D3&lt;0),"na",IF(AND(N3&lt;0,D3&lt;0),-1,1)*(N3-D3)/D3),""))</f>
        <v>-6.5573770491803282E-2</v>
      </c>
      <c r="P3" s="29">
        <f t="shared" ref="P3:P41" si="1">IF(N3=0,"",IFERROR(IF(AND(N3&gt;0,J3&lt;0),"na",IF(AND(N3&lt;0,J3&lt;0),-1,1)*(N3-J3)/J3),""))</f>
        <v>-0.18571428571428572</v>
      </c>
    </row>
    <row r="4" spans="1:17" ht="18" customHeight="1" x14ac:dyDescent="0.2">
      <c r="A4" s="193"/>
      <c r="B4" s="30" t="s">
        <v>55</v>
      </c>
      <c r="C4" s="31"/>
      <c r="D4" s="31">
        <v>24153</v>
      </c>
      <c r="E4" s="31">
        <v>22085</v>
      </c>
      <c r="F4" s="31">
        <v>27648</v>
      </c>
      <c r="G4" s="31">
        <v>27235</v>
      </c>
      <c r="H4" s="31">
        <v>31577</v>
      </c>
      <c r="I4" s="31">
        <v>26042</v>
      </c>
      <c r="J4" s="31">
        <v>28887</v>
      </c>
      <c r="K4" s="31">
        <v>29149</v>
      </c>
      <c r="L4" s="31">
        <v>26006</v>
      </c>
      <c r="M4" s="31">
        <v>21500</v>
      </c>
      <c r="N4" s="31">
        <v>24373</v>
      </c>
      <c r="O4" s="29">
        <f t="shared" si="0"/>
        <v>9.1085993458369565E-3</v>
      </c>
      <c r="P4" s="29">
        <f t="shared" si="1"/>
        <v>-0.15626406341953128</v>
      </c>
    </row>
    <row r="5" spans="1:17" ht="18" customHeight="1" x14ac:dyDescent="0.2">
      <c r="A5" s="193"/>
      <c r="B5" s="30" t="s">
        <v>56</v>
      </c>
      <c r="C5" s="31"/>
      <c r="D5" s="31">
        <v>3120.469970703125</v>
      </c>
      <c r="E5" s="31">
        <v>3016</v>
      </c>
      <c r="F5" s="31">
        <v>3654</v>
      </c>
      <c r="G5" s="31">
        <v>3656</v>
      </c>
      <c r="H5" s="31">
        <v>4220</v>
      </c>
      <c r="I5" s="31">
        <v>3621</v>
      </c>
      <c r="J5" s="31">
        <v>3888.409912109375</v>
      </c>
      <c r="K5" s="31">
        <v>4008</v>
      </c>
      <c r="L5" s="31">
        <v>3558</v>
      </c>
      <c r="M5" s="31">
        <v>3011</v>
      </c>
      <c r="N5" s="31">
        <v>3355.3701171875</v>
      </c>
      <c r="O5" s="29">
        <f t="shared" si="0"/>
        <v>7.5277169365435603E-2</v>
      </c>
      <c r="P5" s="29">
        <f t="shared" si="1"/>
        <v>-0.1370842598826503</v>
      </c>
      <c r="Q5" s="32"/>
    </row>
    <row r="6" spans="1:17" ht="18" customHeight="1" x14ac:dyDescent="0.2">
      <c r="A6" s="193"/>
      <c r="B6" s="30" t="s">
        <v>57</v>
      </c>
      <c r="C6" s="31"/>
      <c r="D6" s="31">
        <v>19683.158203125</v>
      </c>
      <c r="E6" s="31">
        <v>18186.361328125</v>
      </c>
      <c r="F6" s="31">
        <v>22866.158203125</v>
      </c>
      <c r="G6" s="31">
        <v>22442.87109375</v>
      </c>
      <c r="H6" s="31">
        <v>25914.48828125</v>
      </c>
      <c r="I6" s="31">
        <v>21226.109375</v>
      </c>
      <c r="J6" s="31">
        <v>23469.63671875</v>
      </c>
      <c r="K6" s="31">
        <v>23807.642578125</v>
      </c>
      <c r="L6" s="31">
        <v>20511.59375</v>
      </c>
      <c r="M6" s="31">
        <v>16924.853515625</v>
      </c>
      <c r="N6" s="31">
        <v>18939.568359375</v>
      </c>
      <c r="O6" s="29">
        <f t="shared" si="0"/>
        <v>-3.7777974249678277E-2</v>
      </c>
      <c r="P6" s="29">
        <f t="shared" si="1"/>
        <v>-0.19301825646734053</v>
      </c>
    </row>
    <row r="7" spans="1:17" ht="18" customHeight="1" x14ac:dyDescent="0.2">
      <c r="A7" s="193"/>
      <c r="B7" s="30" t="s">
        <v>58</v>
      </c>
      <c r="C7" s="31"/>
      <c r="D7" s="31">
        <v>19619.513671875</v>
      </c>
      <c r="E7" s="31">
        <v>16883.2734375</v>
      </c>
      <c r="F7" s="31">
        <v>22287.515625</v>
      </c>
      <c r="G7" s="31">
        <v>19440.63671875</v>
      </c>
      <c r="H7" s="31">
        <v>23272.27734375</v>
      </c>
      <c r="I7" s="31">
        <v>16406.150390625</v>
      </c>
      <c r="J7" s="31">
        <v>16818.78515625</v>
      </c>
      <c r="K7" s="31">
        <v>18198.751953125</v>
      </c>
      <c r="L7" s="31">
        <v>18945.8125</v>
      </c>
      <c r="M7" s="31">
        <v>15817.2958984375</v>
      </c>
      <c r="N7" s="31">
        <v>16847.18359375</v>
      </c>
      <c r="O7" s="29">
        <f t="shared" si="0"/>
        <v>-0.14130472979558079</v>
      </c>
      <c r="P7" s="29">
        <f t="shared" si="1"/>
        <v>1.6884951699051168E-3</v>
      </c>
    </row>
    <row r="8" spans="1:17" ht="18" customHeight="1" x14ac:dyDescent="0.2">
      <c r="A8" s="193"/>
      <c r="B8" s="30" t="s">
        <v>59</v>
      </c>
      <c r="C8" s="33"/>
      <c r="D8" s="33">
        <f ca="1">24.71356*OFFSET(D$112,MATCH($N$1,$C$112:$C$113,0)-1,0)</f>
        <v>24.713560000000001</v>
      </c>
      <c r="E8" s="33">
        <f ca="1">26.731724*OFFSET(E$112,MATCH($N$1,$C$112:$C$113,0)-1,0)</f>
        <v>26.731724</v>
      </c>
      <c r="F8" s="33">
        <f ca="1">26.757268*OFFSET(F$112,MATCH($N$1,$C$112:$C$113,0)-1,0)</f>
        <v>26.757268</v>
      </c>
      <c r="G8" s="33">
        <f ca="1">28.984024*OFFSET(G$112,MATCH($N$1,$C$112:$C$113,0)-1,0)</f>
        <v>28.984024000000002</v>
      </c>
      <c r="H8" s="33">
        <f ca="1">31.487372*OFFSET(H$112,MATCH($N$1,$C$112:$C$113,0)-1,0)</f>
        <v>31.487372000000001</v>
      </c>
      <c r="I8" s="33">
        <f ca="1">31.82789*OFFSET(I$112,MATCH($N$1,$C$112:$C$113,0)-1,0)</f>
        <v>31.82789</v>
      </c>
      <c r="J8" s="33">
        <f ca="1">33.586936*OFFSET(J$112,MATCH($N$1,$C$112:$C$113,0)-1,0)</f>
        <v>33.586936000000001</v>
      </c>
      <c r="K8" s="33">
        <f ca="1">33.616988*OFFSET(K$112,MATCH($N$1,$C$112:$C$113,0)-1,0)</f>
        <v>33.616987999999999</v>
      </c>
      <c r="L8" s="33">
        <f ca="1">33.87814*OFFSET(L$112,MATCH($N$1,$C$112:$C$113,0)-1,0)</f>
        <v>33.878140000000002</v>
      </c>
      <c r="M8" s="33">
        <f ca="1">20.960668*OFFSET(M$112,MATCH($N$1,$C$112:$C$113,0)-1,0)</f>
        <v>20.960667999999998</v>
      </c>
      <c r="N8" s="33">
        <v>27.953937999999997</v>
      </c>
      <c r="O8" s="29">
        <f t="shared" ca="1" si="0"/>
        <v>0.13111741084651488</v>
      </c>
      <c r="P8" s="29">
        <f t="shared" ca="1" si="1"/>
        <v>-0.16771395878445131</v>
      </c>
    </row>
    <row r="9" spans="1:17" ht="18" customHeight="1" x14ac:dyDescent="0.2">
      <c r="A9" s="193"/>
      <c r="B9" s="30" t="s">
        <v>60</v>
      </c>
      <c r="C9" s="31"/>
      <c r="D9" s="31">
        <v>16965</v>
      </c>
      <c r="E9" s="31">
        <v>16972</v>
      </c>
      <c r="F9" s="31">
        <v>18835</v>
      </c>
      <c r="G9" s="31">
        <v>17573</v>
      </c>
      <c r="H9" s="31">
        <v>22083</v>
      </c>
      <c r="I9" s="31">
        <v>20440</v>
      </c>
      <c r="J9" s="31">
        <v>19827</v>
      </c>
      <c r="K9" s="31">
        <v>20133</v>
      </c>
      <c r="L9" s="31">
        <v>18738</v>
      </c>
      <c r="M9" s="31">
        <v>13071</v>
      </c>
      <c r="N9" s="31">
        <v>15183</v>
      </c>
      <c r="O9" s="29">
        <f t="shared" si="0"/>
        <v>-0.10503978779840849</v>
      </c>
      <c r="P9" s="29">
        <f t="shared" si="1"/>
        <v>-0.2342260553790286</v>
      </c>
    </row>
    <row r="10" spans="1:17" ht="18" customHeight="1" x14ac:dyDescent="0.2">
      <c r="A10" s="193"/>
      <c r="B10" s="30" t="s">
        <v>61</v>
      </c>
      <c r="C10" s="31"/>
      <c r="D10" s="31">
        <v>273.225830078125</v>
      </c>
      <c r="E10" s="31">
        <v>333.16098022460938</v>
      </c>
      <c r="F10" s="31">
        <v>296.45156860351563</v>
      </c>
      <c r="G10" s="31">
        <v>261.0516357421875</v>
      </c>
      <c r="H10" s="31">
        <v>339.95693969726563</v>
      </c>
      <c r="I10" s="31">
        <v>469.25473022460938</v>
      </c>
      <c r="J10" s="31">
        <v>281.6099853515625</v>
      </c>
      <c r="K10" s="31">
        <v>305.501220703125</v>
      </c>
      <c r="L10" s="31">
        <v>223.32473754882813</v>
      </c>
      <c r="M10" s="31">
        <v>196.95233154296875</v>
      </c>
      <c r="N10" s="31">
        <v>231.73040771484375</v>
      </c>
      <c r="O10" s="34">
        <f t="shared" si="0"/>
        <v>-0.15187225289576842</v>
      </c>
      <c r="P10" s="34">
        <f t="shared" si="1"/>
        <v>-0.17712290128650438</v>
      </c>
    </row>
    <row r="11" spans="1:17" ht="18" customHeight="1" x14ac:dyDescent="0.2">
      <c r="A11" s="194" t="s">
        <v>27</v>
      </c>
      <c r="B11" s="35" t="s">
        <v>62</v>
      </c>
      <c r="C11" s="36"/>
      <c r="D11" s="36">
        <v>10.86650276184082</v>
      </c>
      <c r="E11" s="36">
        <v>11.262531280517578</v>
      </c>
      <c r="F11" s="36">
        <v>11.412335395812988</v>
      </c>
      <c r="G11" s="36">
        <v>11.445052146911621</v>
      </c>
      <c r="H11" s="36">
        <v>11.280487060546875</v>
      </c>
      <c r="I11" s="36">
        <v>11.313425064086914</v>
      </c>
      <c r="J11" s="36">
        <v>10.987666130065918</v>
      </c>
      <c r="K11" s="36">
        <v>11.017677307128906</v>
      </c>
      <c r="L11" s="36">
        <v>10.873915672302246</v>
      </c>
      <c r="M11" s="36">
        <v>11.009358406066895</v>
      </c>
      <c r="N11" s="36">
        <v>11.151871681213379</v>
      </c>
      <c r="O11" s="29">
        <f t="shared" si="0"/>
        <v>2.6261339607317798E-2</v>
      </c>
      <c r="P11" s="29">
        <f t="shared" si="1"/>
        <v>1.4944534098841956E-2</v>
      </c>
    </row>
    <row r="12" spans="1:17" ht="18" customHeight="1" x14ac:dyDescent="0.2">
      <c r="A12" s="195"/>
      <c r="B12" s="37" t="s">
        <v>55</v>
      </c>
      <c r="C12" s="31"/>
      <c r="D12" s="31">
        <v>131.98361206054688</v>
      </c>
      <c r="E12" s="31">
        <v>139.77848815917969</v>
      </c>
      <c r="F12" s="31">
        <v>140.34518432617188</v>
      </c>
      <c r="G12" s="31">
        <v>141.84895324707031</v>
      </c>
      <c r="H12" s="31">
        <v>139.72123718261719</v>
      </c>
      <c r="I12" s="31">
        <v>143.87844848632813</v>
      </c>
      <c r="J12" s="31">
        <v>137.55714416503906</v>
      </c>
      <c r="K12" s="31">
        <v>138.14692687988281</v>
      </c>
      <c r="L12" s="31">
        <v>137.59788513183594</v>
      </c>
      <c r="M12" s="31">
        <v>137.82051086425781</v>
      </c>
      <c r="N12" s="31">
        <v>142.53216552734375</v>
      </c>
      <c r="O12" s="29">
        <f t="shared" si="0"/>
        <v>7.9923206389879486E-2</v>
      </c>
      <c r="P12" s="29">
        <f t="shared" si="1"/>
        <v>3.6166942782235499E-2</v>
      </c>
    </row>
    <row r="13" spans="1:17" ht="18" customHeight="1" x14ac:dyDescent="0.2">
      <c r="A13" s="195"/>
      <c r="B13" s="37" t="s">
        <v>56</v>
      </c>
      <c r="C13" s="31"/>
      <c r="D13" s="31">
        <v>17.051748275756836</v>
      </c>
      <c r="E13" s="31">
        <v>19.088607788085938</v>
      </c>
      <c r="F13" s="31">
        <v>18.548223495483398</v>
      </c>
      <c r="G13" s="31">
        <v>19.041666030883789</v>
      </c>
      <c r="H13" s="31">
        <v>18.672565460205078</v>
      </c>
      <c r="I13" s="31">
        <v>20.005525588989258</v>
      </c>
      <c r="J13" s="31">
        <v>18.516237258911133</v>
      </c>
      <c r="K13" s="31">
        <v>18.995260238647461</v>
      </c>
      <c r="L13" s="31">
        <v>18.825397491455078</v>
      </c>
      <c r="M13" s="31">
        <v>19.30128288269043</v>
      </c>
      <c r="N13" s="31">
        <v>19.622047424316406</v>
      </c>
      <c r="O13" s="29">
        <f t="shared" si="0"/>
        <v>0.1507352270860032</v>
      </c>
      <c r="P13" s="29">
        <f t="shared" si="1"/>
        <v>5.9721105856595715E-2</v>
      </c>
    </row>
    <row r="14" spans="1:17" ht="18" customHeight="1" x14ac:dyDescent="0.2">
      <c r="A14" s="195"/>
      <c r="B14" s="37" t="s">
        <v>57</v>
      </c>
      <c r="C14" s="31"/>
      <c r="D14" s="31">
        <v>107.55824279785156</v>
      </c>
      <c r="E14" s="31">
        <v>115.10355377197266</v>
      </c>
      <c r="F14" s="31">
        <v>116.07186889648438</v>
      </c>
      <c r="G14" s="31">
        <v>116.88995361328125</v>
      </c>
      <c r="H14" s="31">
        <v>114.66587829589844</v>
      </c>
      <c r="I14" s="31">
        <v>117.27132415771484</v>
      </c>
      <c r="J14" s="31">
        <v>111.76017761230469</v>
      </c>
      <c r="K14" s="31">
        <v>112.83242797851563</v>
      </c>
      <c r="L14" s="31">
        <v>110.87348175048828</v>
      </c>
      <c r="M14" s="31">
        <v>112.08512878417969</v>
      </c>
      <c r="N14" s="31">
        <v>114.78527069091797</v>
      </c>
      <c r="O14" s="29">
        <f t="shared" si="0"/>
        <v>6.7191762389137544E-2</v>
      </c>
      <c r="P14" s="29">
        <f t="shared" si="1"/>
        <v>2.7067718960749231E-2</v>
      </c>
    </row>
    <row r="15" spans="1:17" ht="18" customHeight="1" x14ac:dyDescent="0.2">
      <c r="A15" s="195"/>
      <c r="B15" s="37" t="s">
        <v>58</v>
      </c>
      <c r="C15" s="33"/>
      <c r="D15" s="33">
        <v>107.21045684814453</v>
      </c>
      <c r="E15" s="33">
        <v>106.85616302490234</v>
      </c>
      <c r="F15" s="33">
        <v>113.13459777832031</v>
      </c>
      <c r="G15" s="33">
        <v>101.25331115722656</v>
      </c>
      <c r="H15" s="33">
        <v>102.97467803955078</v>
      </c>
      <c r="I15" s="33">
        <v>90.641716003417969</v>
      </c>
      <c r="J15" s="33">
        <v>80.089454650878906</v>
      </c>
      <c r="K15" s="33">
        <v>86.250007629394531</v>
      </c>
      <c r="L15" s="33">
        <v>100.24239349365234</v>
      </c>
      <c r="M15" s="33">
        <v>101.39292144775391</v>
      </c>
      <c r="N15" s="33">
        <v>98.52154541015625</v>
      </c>
      <c r="O15" s="29">
        <f t="shared" si="0"/>
        <v>-8.104537275030424E-2</v>
      </c>
      <c r="P15" s="29">
        <f t="shared" si="1"/>
        <v>0.23014379158436521</v>
      </c>
    </row>
    <row r="16" spans="1:17" ht="18" customHeight="1" x14ac:dyDescent="0.2">
      <c r="A16" s="195"/>
      <c r="B16" s="37" t="s">
        <v>63</v>
      </c>
      <c r="C16" s="33"/>
      <c r="D16" s="33">
        <f ca="1">135.046765625*OFFSET(D$112,MATCH($N$1,$C$112:$C$113,0)-1,0)</f>
        <v>135.04676562500001</v>
      </c>
      <c r="E16" s="33">
        <f ca="1">169.188125*OFFSET(E$112,MATCH($N$1,$C$112:$C$113,0)-1,0)</f>
        <v>169.18812500000001</v>
      </c>
      <c r="F16" s="33">
        <f ca="1">135.8236875*OFFSET(F$112,MATCH($N$1,$C$112:$C$113,0)-1,0)</f>
        <v>135.82368750000001</v>
      </c>
      <c r="G16" s="33">
        <f ca="1">150.958453125*OFFSET(G$112,MATCH($N$1,$C$112:$C$113,0)-1,0)</f>
        <v>150.95845312500001</v>
      </c>
      <c r="H16" s="33">
        <f ca="1">139.32465625*OFFSET(H$112,MATCH($N$1,$C$112:$C$113,0)-1,0)</f>
        <v>139.32465625</v>
      </c>
      <c r="I16" s="33">
        <f ca="1">175.844703125*OFFSET(I$112,MATCH($N$1,$C$112:$C$113,0)-1,0)</f>
        <v>175.844703125</v>
      </c>
      <c r="J16" s="33">
        <f ca="1">159.937796875*OFFSET(J$112,MATCH($N$1,$C$112:$C$113,0)-1,0)</f>
        <v>159.937796875</v>
      </c>
      <c r="K16" s="33">
        <f ca="1">159.32221875*OFFSET(K$112,MATCH($N$1,$C$112:$C$113,0)-1,0)</f>
        <v>159.32221874999999</v>
      </c>
      <c r="L16" s="33">
        <f ca="1">179.24940625*OFFSET(L$112,MATCH($N$1,$C$112:$C$113,0)-1,0)</f>
        <v>179.24940624999999</v>
      </c>
      <c r="M16" s="33">
        <f ca="1">134.36325*OFFSET(M$112,MATCH($N$1,$C$112:$C$113,0)-1,0)</f>
        <v>134.36324999999999</v>
      </c>
      <c r="N16" s="33">
        <v>163.47332812499999</v>
      </c>
      <c r="O16" s="29">
        <f t="shared" ca="1" si="0"/>
        <v>0.21049421190090045</v>
      </c>
      <c r="P16" s="29">
        <f t="shared" ca="1" si="1"/>
        <v>2.2105664321256088E-2</v>
      </c>
    </row>
    <row r="17" spans="1:16" ht="18" customHeight="1" x14ac:dyDescent="0.2">
      <c r="A17" s="195"/>
      <c r="B17" s="37" t="s">
        <v>60</v>
      </c>
      <c r="C17" s="31"/>
      <c r="D17" s="31">
        <v>92.704917907714844</v>
      </c>
      <c r="E17" s="31">
        <v>107.417724609375</v>
      </c>
      <c r="F17" s="31">
        <v>95.609138488769531</v>
      </c>
      <c r="G17" s="31">
        <v>91.526039123535156</v>
      </c>
      <c r="H17" s="31">
        <v>97.712387084960938</v>
      </c>
      <c r="I17" s="31">
        <v>112.92817687988281</v>
      </c>
      <c r="J17" s="31">
        <v>94.414283752441406</v>
      </c>
      <c r="K17" s="31">
        <v>95.417060852050781</v>
      </c>
      <c r="L17" s="31">
        <v>99.142860412597656</v>
      </c>
      <c r="M17" s="31">
        <v>83.788459777832031</v>
      </c>
      <c r="N17" s="31">
        <v>88.789474487304688</v>
      </c>
      <c r="O17" s="29">
        <f t="shared" si="0"/>
        <v>-4.2235552425685448E-2</v>
      </c>
      <c r="P17" s="29">
        <f t="shared" si="1"/>
        <v>-5.9575829435779305E-2</v>
      </c>
    </row>
    <row r="18" spans="1:16" ht="18" customHeight="1" x14ac:dyDescent="0.2">
      <c r="A18" s="195"/>
      <c r="B18" s="37" t="s">
        <v>64</v>
      </c>
      <c r="C18" s="31"/>
      <c r="D18" s="31">
        <v>21.939889907836914</v>
      </c>
      <c r="E18" s="31">
        <v>22.936708450317383</v>
      </c>
      <c r="F18" s="31">
        <v>22.416244506835938</v>
      </c>
      <c r="G18" s="31">
        <v>23.911458969116211</v>
      </c>
      <c r="H18" s="31">
        <v>23.920354843139648</v>
      </c>
      <c r="I18" s="31">
        <v>25.911602020263672</v>
      </c>
      <c r="J18" s="31">
        <v>25.75238037109375</v>
      </c>
      <c r="K18" s="31">
        <v>26.170616149902344</v>
      </c>
      <c r="L18" s="31">
        <v>26.389188766479492</v>
      </c>
      <c r="M18" s="31">
        <v>27.880794525146484</v>
      </c>
      <c r="N18" s="31">
        <v>27.769697189331055</v>
      </c>
      <c r="O18" s="29">
        <f t="shared" si="0"/>
        <v>0.26571725318510997</v>
      </c>
      <c r="P18" s="29">
        <f t="shared" si="1"/>
        <v>7.8335159281107875E-2</v>
      </c>
    </row>
    <row r="19" spans="1:16" ht="18" customHeight="1" x14ac:dyDescent="0.2">
      <c r="A19" s="195"/>
      <c r="B19" s="37" t="s">
        <v>65</v>
      </c>
      <c r="C19" s="38"/>
      <c r="D19" s="38">
        <v>1.1564700603485107</v>
      </c>
      <c r="E19" s="38">
        <v>0.99477219581604004</v>
      </c>
      <c r="F19" s="38">
        <v>1.1833032369613647</v>
      </c>
      <c r="G19" s="38">
        <v>1.1062787771224976</v>
      </c>
      <c r="H19" s="38">
        <v>1.0538549423217773</v>
      </c>
      <c r="I19" s="38">
        <v>0.80264925956726074</v>
      </c>
      <c r="J19" s="38">
        <v>0.84827691316604614</v>
      </c>
      <c r="K19" s="38">
        <v>0.90392649173736572</v>
      </c>
      <c r="L19" s="38">
        <v>1.0110903978347778</v>
      </c>
      <c r="M19" s="38">
        <v>1.2101060152053833</v>
      </c>
      <c r="N19" s="38">
        <v>1.1096084117889404</v>
      </c>
      <c r="O19" s="29">
        <f t="shared" si="0"/>
        <v>-4.0521281238744919E-2</v>
      </c>
      <c r="P19" s="29">
        <f t="shared" si="1"/>
        <v>0.30807333615566629</v>
      </c>
    </row>
    <row r="20" spans="1:16" ht="18" customHeight="1" x14ac:dyDescent="0.2">
      <c r="A20" s="196"/>
      <c r="B20" s="39" t="s">
        <v>28</v>
      </c>
      <c r="C20" s="40"/>
      <c r="D20" s="40">
        <f ca="1">1260*OFFSET(D$112,MATCH($N$1,$C$112:$C$113,0)-1,0)</f>
        <v>1260</v>
      </c>
      <c r="E20" s="40">
        <f ca="1">1583*OFFSET(E$112,MATCH($N$1,$C$112:$C$113,0)-1,0)</f>
        <v>1583</v>
      </c>
      <c r="F20" s="40">
        <f ca="1">1201*OFFSET(F$112,MATCH($N$1,$C$112:$C$113,0)-1,0)</f>
        <v>1201</v>
      </c>
      <c r="G20" s="40">
        <f ca="1">1491*OFFSET(G$112,MATCH($N$1,$C$112:$C$113,0)-1,0)</f>
        <v>1491</v>
      </c>
      <c r="H20" s="40">
        <f ca="1">1353*OFFSET(H$112,MATCH($N$1,$C$112:$C$113,0)-1,0)</f>
        <v>1353</v>
      </c>
      <c r="I20" s="40">
        <f ca="1">1940*OFFSET(I$112,MATCH($N$1,$C$112:$C$113,0)-1,0)</f>
        <v>1940</v>
      </c>
      <c r="J20" s="40">
        <f ca="1">1997*OFFSET(J$112,MATCH($N$1,$C$112:$C$113,0)-1,0)</f>
        <v>1997</v>
      </c>
      <c r="K20" s="40">
        <f ca="1">1847*OFFSET(K$112,MATCH($N$1,$C$112:$C$113,0)-1,0)</f>
        <v>1847</v>
      </c>
      <c r="L20" s="40">
        <f ca="1">1788*OFFSET(L$112,MATCH($N$1,$C$112:$C$113,0)-1,0)</f>
        <v>1788</v>
      </c>
      <c r="M20" s="40">
        <f ca="1">1325*OFFSET(M$112,MATCH($N$1,$C$112:$C$113,0)-1,0)</f>
        <v>1325</v>
      </c>
      <c r="N20" s="40">
        <v>1659</v>
      </c>
      <c r="O20" s="34">
        <f t="shared" ca="1" si="0"/>
        <v>0.31666666666666665</v>
      </c>
      <c r="P20" s="34">
        <f t="shared" ca="1" si="1"/>
        <v>-0.16925388082123186</v>
      </c>
    </row>
    <row r="21" spans="1:16" ht="18" customHeight="1" x14ac:dyDescent="0.2">
      <c r="A21" s="197" t="s">
        <v>29</v>
      </c>
      <c r="B21" s="35" t="s">
        <v>66</v>
      </c>
      <c r="C21" s="41"/>
      <c r="D21" s="41">
        <v>7.9199977241014317</v>
      </c>
      <c r="E21" s="41">
        <v>6.5354112487720801</v>
      </c>
      <c r="F21" s="41">
        <v>7.7882520128140298</v>
      </c>
      <c r="G21" s="41">
        <v>7.1004815832487802</v>
      </c>
      <c r="H21" s="41">
        <v>6.9926513290677343</v>
      </c>
      <c r="I21" s="41">
        <v>5.1164718238853713</v>
      </c>
      <c r="J21" s="41">
        <v>5.4715309855001584</v>
      </c>
      <c r="K21" s="41">
        <v>5.8084965309494114</v>
      </c>
      <c r="L21" s="41">
        <v>6.5166929881002416</v>
      </c>
      <c r="M21" s="41">
        <v>7.8399621634721637</v>
      </c>
      <c r="N21" s="41">
        <v>7.087585681885864</v>
      </c>
      <c r="O21" s="29">
        <f t="shared" si="0"/>
        <v>-0.10510256078514334</v>
      </c>
      <c r="P21" s="29">
        <f t="shared" si="1"/>
        <v>0.29535694866177942</v>
      </c>
    </row>
    <row r="22" spans="1:16" ht="18" customHeight="1" x14ac:dyDescent="0.2">
      <c r="A22" s="197"/>
      <c r="B22" s="37" t="s">
        <v>67</v>
      </c>
      <c r="C22" s="38"/>
      <c r="D22" s="38">
        <f ca="1">9.97635965596364*OFFSET(D$112,MATCH($N$1,$C$112:$C$113,0)-1,0)</f>
        <v>9.9763596559636394</v>
      </c>
      <c r="E22" s="38">
        <f ca="1">10.34768556144*OFFSET(E$112,MATCH($N$1,$C$112:$C$113,0)-1,0)</f>
        <v>10.347685561440001</v>
      </c>
      <c r="F22" s="38">
        <f ca="1">9.35018224603975*OFFSET(F$112,MATCH($N$1,$C$112:$C$113,0)-1,0)</f>
        <v>9.3501822460397506</v>
      </c>
      <c r="G22" s="38">
        <f ca="1">10.5861003852543*OFFSET(G$112,MATCH($N$1,$C$112:$C$113,0)-1,0)</f>
        <v>10.5861003852543</v>
      </c>
      <c r="H22" s="38">
        <f ca="1">9.46105160265008*OFFSET(H$112,MATCH($N$1,$C$112:$C$113,0)-1,0)</f>
        <v>9.4610516026500804</v>
      </c>
      <c r="I22" s="38">
        <f ca="1">9.92594258569226*OFFSET(I$112,MATCH($N$1,$C$112:$C$113,0)-1,0)</f>
        <v>9.9259425856922601</v>
      </c>
      <c r="J22" s="38">
        <f ca="1">10.9265897135759*OFFSET(J$112,MATCH($N$1,$C$112:$C$113,0)-1,0)</f>
        <v>10.9265897135759</v>
      </c>
      <c r="K22" s="38">
        <f ca="1">10.7295359194513*OFFSET(K$112,MATCH($N$1,$C$112:$C$113,0)-1,0)</f>
        <v>10.729535919451299</v>
      </c>
      <c r="L22" s="38">
        <f ca="1">11.6528876468265*OFFSET(L$112,MATCH($N$1,$C$112:$C$113,0)-1,0)</f>
        <v>11.6528876468265</v>
      </c>
      <c r="M22" s="38">
        <f ca="1">10.3893129926624*OFFSET(M$112,MATCH($N$1,$C$112:$C$113,0)-1,0)</f>
        <v>10.389312992662401</v>
      </c>
      <c r="N22" s="38">
        <v>11.760181135663961</v>
      </c>
      <c r="O22" s="29">
        <f t="shared" ca="1" si="0"/>
        <v>0.17880484878409472</v>
      </c>
      <c r="P22" s="29">
        <f t="shared" ca="1" si="1"/>
        <v>7.6290173232399575E-2</v>
      </c>
    </row>
    <row r="23" spans="1:16" ht="18" customHeight="1" x14ac:dyDescent="0.2">
      <c r="A23" s="197"/>
      <c r="B23" s="37" t="s">
        <v>11</v>
      </c>
      <c r="C23" s="38"/>
      <c r="D23" s="38">
        <f ca="1">8.81951422776574*OFFSET(D$112,MATCH($N$1,$C$112:$C$113,0)-1,0)</f>
        <v>8.8195142277657403</v>
      </c>
      <c r="E23" s="38">
        <f ca="1">8.3355933970915*OFFSET(E$112,MATCH($N$1,$C$112:$C$113,0)-1,0)</f>
        <v>8.3355933970915004</v>
      </c>
      <c r="F23" s="38">
        <f ca="1">8.10986866775852*OFFSET(F$112,MATCH($N$1,$C$112:$C$113,0)-1,0)</f>
        <v>8.1098686677585192</v>
      </c>
      <c r="G23" s="38">
        <f ca="1">8.69157011968796*OFFSET(G$112,MATCH($N$1,$C$112:$C$113,0)-1,0)</f>
        <v>8.6915701196879596</v>
      </c>
      <c r="H23" s="38">
        <f ca="1">7.84490129184847*OFFSET(H$112,MATCH($N$1,$C$112:$C$113,0)-1,0)</f>
        <v>7.84490129184847</v>
      </c>
      <c r="I23" s="38">
        <f ca="1">8.45949080428672*OFFSET(I$112,MATCH($N$1,$C$112:$C$113,0)-1,0)</f>
        <v>8.4594908042867196</v>
      </c>
      <c r="J23" s="38">
        <f ca="1">9.95450325026345*OFFSET(J$112,MATCH($N$1,$C$112:$C$113,0)-1,0)</f>
        <v>9.9545032502634498</v>
      </c>
      <c r="K23" s="38">
        <f ca="1">9.32285149276441*OFFSET(K$112,MATCH($N$1,$C$112:$C$113,0)-1,0)</f>
        <v>9.3228514927644106</v>
      </c>
      <c r="L23" s="38">
        <f ca="1">10.3575798745269*OFFSET(L$112,MATCH($N$1,$C$112:$C$113,0)-1,0)</f>
        <v>10.3575798745269</v>
      </c>
      <c r="M23" s="38">
        <f ca="1">9.01217543677629*OFFSET(M$112,MATCH($N$1,$C$112:$C$113,0)-1,0)</f>
        <v>9.0121754367762907</v>
      </c>
      <c r="N23" s="38">
        <v>9.1742069255348717</v>
      </c>
      <c r="O23" s="29">
        <f t="shared" ca="1" si="0"/>
        <v>4.0216806573369082E-2</v>
      </c>
      <c r="P23" s="29">
        <f t="shared" ca="1" si="1"/>
        <v>-7.8386264498725974E-2</v>
      </c>
    </row>
    <row r="24" spans="1:16" ht="18" customHeight="1" x14ac:dyDescent="0.2">
      <c r="A24" s="197"/>
      <c r="B24" s="37" t="s">
        <v>12</v>
      </c>
      <c r="C24" s="38"/>
      <c r="D24" s="38">
        <f ca="1">1.22592092461756*OFFSET(D$112,MATCH($N$1,$C$112:$C$113,0)-1,0)</f>
        <v>1.22592092461756</v>
      </c>
      <c r="E24" s="38">
        <f ca="1">2.4013446303273*OFFSET(E$112,MATCH($N$1,$C$112:$C$113,0)-1,0)</f>
        <v>2.4013446303273001</v>
      </c>
      <c r="F24" s="38">
        <f ca="1">1.54672857299784*OFFSET(F$112,MATCH($N$1,$C$112:$C$113,0)-1,0)</f>
        <v>1.5467285729978399</v>
      </c>
      <c r="G24" s="38">
        <f ca="1">2.02019914117663*OFFSET(G$112,MATCH($N$1,$C$112:$C$113,0)-1,0)</f>
        <v>2.0201991411766298</v>
      </c>
      <c r="H24" s="38">
        <f ca="1">2.11296540249364*OFFSET(H$112,MATCH($N$1,$C$112:$C$113,0)-1,0)</f>
        <v>2.1129654024936402</v>
      </c>
      <c r="I24" s="38">
        <f ca="1">1.85784277732613*OFFSET(I$112,MATCH($N$1,$C$112:$C$113,0)-1,0)</f>
        <v>1.8578427773261299</v>
      </c>
      <c r="J24" s="38">
        <f ca="1">1.35811008030337*OFFSET(J$112,MATCH($N$1,$C$112:$C$113,0)-1,0)</f>
        <v>1.3581100803033701</v>
      </c>
      <c r="K24" s="38">
        <f ca="1">1.84714737539438*OFFSET(K$112,MATCH($N$1,$C$112:$C$113,0)-1,0)</f>
        <v>1.8471473753943799</v>
      </c>
      <c r="L24" s="38">
        <f ca="1">1.84818881661395*OFFSET(L$112,MATCH($N$1,$C$112:$C$113,0)-1,0)</f>
        <v>1.84818881661395</v>
      </c>
      <c r="M24" s="38">
        <f ca="1">2.40693529164846*OFFSET(M$112,MATCH($N$1,$C$112:$C$113,0)-1,0)</f>
        <v>2.4069352916484599</v>
      </c>
      <c r="N24" s="38">
        <v>3.2058562083568769</v>
      </c>
      <c r="O24" s="29">
        <f t="shared" ca="1" si="0"/>
        <v>1.61505953930673</v>
      </c>
      <c r="P24" s="29">
        <f t="shared" ca="1" si="1"/>
        <v>1.3605275116143483</v>
      </c>
    </row>
    <row r="25" spans="1:16" ht="18" customHeight="1" x14ac:dyDescent="0.2">
      <c r="A25" s="197"/>
      <c r="B25" s="37" t="s">
        <v>68</v>
      </c>
      <c r="C25" s="33"/>
      <c r="D25" s="33">
        <f ca="1">90.42*OFFSET(D$112,MATCH($N$1,$C$112:$C$113,0)-1,0)</f>
        <v>90.42</v>
      </c>
      <c r="E25" s="33">
        <f ca="1">80.24*OFFSET(E$112,MATCH($N$1,$C$112:$C$113,0)-1,0)</f>
        <v>80.239999999999995</v>
      </c>
      <c r="F25" s="33">
        <f ca="1">90.24*OFFSET(F$112,MATCH($N$1,$C$112:$C$113,0)-1,0)</f>
        <v>90.24</v>
      </c>
      <c r="G25" s="33">
        <f ca="1">111.06*OFFSET(G$112,MATCH($N$1,$C$112:$C$113,0)-1,0)</f>
        <v>111.06</v>
      </c>
      <c r="H25" s="33">
        <f ca="1">92.61*OFFSET(H$112,MATCH($N$1,$C$112:$C$113,0)-1,0)</f>
        <v>92.61</v>
      </c>
      <c r="I25" s="33">
        <f ca="1">67.81*OFFSET(I$112,MATCH($N$1,$C$112:$C$113,0)-1,0)</f>
        <v>67.81</v>
      </c>
      <c r="J25" s="33">
        <f ca="1">119.24*OFFSET(J$112,MATCH($N$1,$C$112:$C$113,0)-1,0)</f>
        <v>119.24</v>
      </c>
      <c r="K25" s="33">
        <f ca="1">110.02*OFFSET(K$112,MATCH($N$1,$C$112:$C$113,0)-1,0)</f>
        <v>110.02</v>
      </c>
      <c r="L25" s="33">
        <f ca="1">151.66*OFFSET(L$112,MATCH($N$1,$C$112:$C$113,0)-1,0)</f>
        <v>151.66</v>
      </c>
      <c r="M25" s="33">
        <f ca="1">106.45*OFFSET(M$112,MATCH($N$1,$C$112:$C$113,0)-1,0)</f>
        <v>106.45</v>
      </c>
      <c r="N25" s="33">
        <v>120.65</v>
      </c>
      <c r="O25" s="29">
        <f t="shared" ca="1" si="0"/>
        <v>0.33432868834328694</v>
      </c>
      <c r="P25" s="29">
        <f t="shared" ca="1" si="1"/>
        <v>1.182489097618258E-2</v>
      </c>
    </row>
    <row r="26" spans="1:16" ht="18" customHeight="1" x14ac:dyDescent="0.2">
      <c r="A26" s="198"/>
      <c r="B26" s="37" t="s">
        <v>69</v>
      </c>
      <c r="C26" s="33"/>
      <c r="D26" s="33">
        <f ca="1">11.12*OFFSET(D$112,MATCH($N$1,$C$112:$C$113,0)-1,0)</f>
        <v>11.12</v>
      </c>
      <c r="E26" s="33">
        <f ca="1">18.64*OFFSET(E$112,MATCH($N$1,$C$112:$C$113,0)-1,0)</f>
        <v>18.64</v>
      </c>
      <c r="F26" s="33">
        <f ca="1">14.95*OFFSET(F$112,MATCH($N$1,$C$112:$C$113,0)-1,0)</f>
        <v>14.95</v>
      </c>
      <c r="G26" s="33">
        <f ca="1">21.18*OFFSET(G$112,MATCH($N$1,$C$112:$C$113,0)-1,0)</f>
        <v>21.18</v>
      </c>
      <c r="H26" s="33">
        <f ca="1">20.67*OFFSET(H$112,MATCH($N$1,$C$112:$C$113,0)-1,0)</f>
        <v>20.67</v>
      </c>
      <c r="I26" s="33">
        <f ca="1">12.69*OFFSET(I$112,MATCH($N$1,$C$112:$C$113,0)-1,0)</f>
        <v>12.69</v>
      </c>
      <c r="J26" s="33">
        <f ca="1">14.84*OFFSET(J$112,MATCH($N$1,$C$112:$C$113,0)-1,0)</f>
        <v>14.84</v>
      </c>
      <c r="K26" s="33">
        <f ca="1">18.92*OFFSET(K$112,MATCH($N$1,$C$112:$C$113,0)-1,0)</f>
        <v>18.920000000000002</v>
      </c>
      <c r="L26" s="33">
        <f ca="1">24.03*OFFSET(L$112,MATCH($N$1,$C$112:$C$113,0)-1,0)</f>
        <v>24.03</v>
      </c>
      <c r="M26" s="33">
        <f ca="1">24.63*OFFSET(M$112,MATCH($N$1,$C$112:$C$113,0)-1,0)</f>
        <v>24.63</v>
      </c>
      <c r="N26" s="33">
        <v>32.909999999999997</v>
      </c>
      <c r="O26" s="34">
        <f t="shared" ca="1" si="0"/>
        <v>1.9595323741007196</v>
      </c>
      <c r="P26" s="34">
        <f t="shared" ca="1" si="1"/>
        <v>1.2176549865229109</v>
      </c>
    </row>
    <row r="27" spans="1:16" ht="18" customHeight="1" x14ac:dyDescent="0.2">
      <c r="A27" s="187" t="s">
        <v>30</v>
      </c>
      <c r="B27" s="35" t="s">
        <v>63</v>
      </c>
      <c r="C27" s="36"/>
      <c r="D27" s="36">
        <f ca="1">135*OFFSET(D$112,MATCH($N$1,$C$112:$C$113,0)-1,0)</f>
        <v>135</v>
      </c>
      <c r="E27" s="36">
        <f ca="1">169.2*OFFSET(E$112,MATCH($N$1,$C$112:$C$113,0)-1,0)</f>
        <v>169.2</v>
      </c>
      <c r="F27" s="36">
        <f ca="1">135.8*OFFSET(F$112,MATCH($N$1,$C$112:$C$113,0)-1,0)</f>
        <v>135.80000000000001</v>
      </c>
      <c r="G27" s="36">
        <f ca="1">151*OFFSET(G$112,MATCH($N$1,$C$112:$C$113,0)-1,0)</f>
        <v>151</v>
      </c>
      <c r="H27" s="36">
        <f ca="1">139.3*OFFSET(H$112,MATCH($N$1,$C$112:$C$113,0)-1,0)</f>
        <v>139.30000000000001</v>
      </c>
      <c r="I27" s="36">
        <f ca="1">175.8*OFFSET(I$112,MATCH($N$1,$C$112:$C$113,0)-1,0)</f>
        <v>175.8</v>
      </c>
      <c r="J27" s="36">
        <f ca="1">159.9*OFFSET(J$112,MATCH($N$1,$C$112:$C$113,0)-1,0)</f>
        <v>159.9</v>
      </c>
      <c r="K27" s="36">
        <f ca="1">159.3*OFFSET(K$112,MATCH($N$1,$C$112:$C$113,0)-1,0)</f>
        <v>159.30000000000001</v>
      </c>
      <c r="L27" s="36">
        <f ca="1">179.2*OFFSET(L$112,MATCH($N$1,$C$112:$C$113,0)-1,0)</f>
        <v>179.2</v>
      </c>
      <c r="M27" s="36">
        <f ca="1">134.4*OFFSET(M$112,MATCH($N$1,$C$112:$C$113,0)-1,0)</f>
        <v>134.4</v>
      </c>
      <c r="N27" s="36">
        <v>163.5</v>
      </c>
      <c r="O27" s="29">
        <f t="shared" ca="1" si="0"/>
        <v>0.21111111111111111</v>
      </c>
      <c r="P27" s="29">
        <f t="shared" ca="1" si="1"/>
        <v>2.2514071294559065E-2</v>
      </c>
    </row>
    <row r="28" spans="1:16" ht="18" customHeight="1" x14ac:dyDescent="0.2">
      <c r="A28" s="199"/>
      <c r="B28" s="37" t="s">
        <v>70</v>
      </c>
      <c r="C28" s="33"/>
      <c r="D28" s="33">
        <f ca="1">0.9*OFFSET(D$112,MATCH($N$1,$C$112:$C$113,0)-1,0)</f>
        <v>0.9</v>
      </c>
      <c r="E28" s="33">
        <f ca="1">6.4*OFFSET(E$112,MATCH($N$1,$C$112:$C$113,0)-1,0)</f>
        <v>6.4</v>
      </c>
      <c r="F28" s="33">
        <f ca="1">4.5*OFFSET(F$112,MATCH($N$1,$C$112:$C$113,0)-1,0)</f>
        <v>4.5</v>
      </c>
      <c r="G28" s="33">
        <f ca="1">1.8*OFFSET(G$112,MATCH($N$1,$C$112:$C$113,0)-1,0)</f>
        <v>1.8</v>
      </c>
      <c r="H28" s="33">
        <f ca="1">7.3*OFFSET(H$112,MATCH($N$1,$C$112:$C$113,0)-1,0)</f>
        <v>7.3</v>
      </c>
      <c r="I28" s="33">
        <f ca="1">6.9*OFFSET(I$112,MATCH($N$1,$C$112:$C$113,0)-1,0)</f>
        <v>6.9</v>
      </c>
      <c r="J28" s="33">
        <f ca="1">5.7*OFFSET(J$112,MATCH($N$1,$C$112:$C$113,0)-1,0)</f>
        <v>5.7</v>
      </c>
      <c r="K28" s="33">
        <f ca="1">6.5*OFFSET(K$112,MATCH($N$1,$C$112:$C$113,0)-1,0)</f>
        <v>6.5</v>
      </c>
      <c r="L28" s="33">
        <f ca="1">8.5*OFFSET(L$112,MATCH($N$1,$C$112:$C$113,0)-1,0)</f>
        <v>8.5</v>
      </c>
      <c r="M28" s="33">
        <f ca="1">13.3*OFFSET(M$112,MATCH($N$1,$C$112:$C$113,0)-1,0)</f>
        <v>13.3</v>
      </c>
      <c r="N28" s="33">
        <v>8.6</v>
      </c>
      <c r="O28" s="29">
        <f t="shared" ca="1" si="0"/>
        <v>8.5555555555555554</v>
      </c>
      <c r="P28" s="29">
        <f t="shared" ca="1" si="1"/>
        <v>0.50877192982456132</v>
      </c>
    </row>
    <row r="29" spans="1:16" ht="18" customHeight="1" x14ac:dyDescent="0.2">
      <c r="A29" s="199"/>
      <c r="B29" s="42" t="s">
        <v>71</v>
      </c>
      <c r="C29" s="43"/>
      <c r="D29" s="43">
        <f ca="1">136*OFFSET(D$112,MATCH($N$1,$C$112:$C$113,0)-1,0)</f>
        <v>136</v>
      </c>
      <c r="E29" s="43">
        <f ca="1">175.6*OFFSET(E$112,MATCH($N$1,$C$112:$C$113,0)-1,0)</f>
        <v>175.6</v>
      </c>
      <c r="F29" s="43">
        <f ca="1">140.3*OFFSET(F$112,MATCH($N$1,$C$112:$C$113,0)-1,0)</f>
        <v>140.30000000000001</v>
      </c>
      <c r="G29" s="43">
        <f ca="1">152.8*OFFSET(G$112,MATCH($N$1,$C$112:$C$113,0)-1,0)</f>
        <v>152.80000000000001</v>
      </c>
      <c r="H29" s="43">
        <f ca="1">146.6*OFFSET(H$112,MATCH($N$1,$C$112:$C$113,0)-1,0)</f>
        <v>146.6</v>
      </c>
      <c r="I29" s="43">
        <f ca="1">182.8*OFFSET(I$112,MATCH($N$1,$C$112:$C$113,0)-1,0)</f>
        <v>182.8</v>
      </c>
      <c r="J29" s="43">
        <f ca="1">165.6*OFFSET(J$112,MATCH($N$1,$C$112:$C$113,0)-1,0)</f>
        <v>165.6</v>
      </c>
      <c r="K29" s="43">
        <f ca="1">165.9*OFFSET(K$112,MATCH($N$1,$C$112:$C$113,0)-1,0)</f>
        <v>165.9</v>
      </c>
      <c r="L29" s="43">
        <f ca="1">187.8*OFFSET(L$112,MATCH($N$1,$C$112:$C$113,0)-1,0)</f>
        <v>187.8</v>
      </c>
      <c r="M29" s="43">
        <f ca="1">147.7*OFFSET(M$112,MATCH($N$1,$C$112:$C$113,0)-1,0)</f>
        <v>147.69999999999999</v>
      </c>
      <c r="N29" s="43">
        <v>172.1</v>
      </c>
      <c r="O29" s="29">
        <f t="shared" ca="1" si="0"/>
        <v>0.26544117647058818</v>
      </c>
      <c r="P29" s="29">
        <f t="shared" ca="1" si="1"/>
        <v>3.92512077294686E-2</v>
      </c>
    </row>
    <row r="30" spans="1:16" ht="18" customHeight="1" x14ac:dyDescent="0.2">
      <c r="A30" s="199"/>
      <c r="B30" s="37" t="s">
        <v>72</v>
      </c>
      <c r="C30" s="33"/>
      <c r="D30" s="33">
        <f ca="1">31*OFFSET(D$112,MATCH($N$1,$C$112:$C$113,0)-1,0)</f>
        <v>31</v>
      </c>
      <c r="E30" s="33">
        <f ca="1">37.5*OFFSET(E$112,MATCH($N$1,$C$112:$C$113,0)-1,0)</f>
        <v>37.5</v>
      </c>
      <c r="F30" s="33">
        <f ca="1">32.5*OFFSET(F$112,MATCH($N$1,$C$112:$C$113,0)-1,0)</f>
        <v>32.5</v>
      </c>
      <c r="G30" s="33">
        <f ca="1">28.4*OFFSET(G$112,MATCH($N$1,$C$112:$C$113,0)-1,0)</f>
        <v>28.4</v>
      </c>
      <c r="H30" s="33">
        <f ca="1">20.1*OFFSET(H$112,MATCH($N$1,$C$112:$C$113,0)-1,0)</f>
        <v>20.100000000000001</v>
      </c>
      <c r="I30" s="33">
        <f ca="1">22.8*OFFSET(I$112,MATCH($N$1,$C$112:$C$113,0)-1,0)</f>
        <v>22.8</v>
      </c>
      <c r="J30" s="33">
        <f ca="1">22.8*OFFSET(J$112,MATCH($N$1,$C$112:$C$113,0)-1,0)</f>
        <v>22.8</v>
      </c>
      <c r="K30" s="33">
        <f ca="1">27.3*OFFSET(K$112,MATCH($N$1,$C$112:$C$113,0)-1,0)</f>
        <v>27.3</v>
      </c>
      <c r="L30" s="33">
        <f ca="1">27.6*OFFSET(L$112,MATCH($N$1,$C$112:$C$113,0)-1,0)</f>
        <v>27.6</v>
      </c>
      <c r="M30" s="33">
        <f ca="1">16.9*OFFSET(M$112,MATCH($N$1,$C$112:$C$113,0)-1,0)</f>
        <v>16.899999999999999</v>
      </c>
      <c r="N30" s="33">
        <v>22.6</v>
      </c>
      <c r="O30" s="29">
        <f t="shared" ca="1" si="0"/>
        <v>-0.27096774193548384</v>
      </c>
      <c r="P30" s="29">
        <f t="shared" ca="1" si="1"/>
        <v>-8.7719298245613718E-3</v>
      </c>
    </row>
    <row r="31" spans="1:16" ht="18" customHeight="1" x14ac:dyDescent="0.2">
      <c r="A31" s="199"/>
      <c r="B31" s="37" t="s">
        <v>73</v>
      </c>
      <c r="C31" s="33"/>
      <c r="D31" s="33">
        <f ca="1">40.4*OFFSET(D$112,MATCH($N$1,$C$112:$C$113,0)-1,0)</f>
        <v>40.4</v>
      </c>
      <c r="E31" s="33">
        <f ca="1">50.9*OFFSET(E$112,MATCH($N$1,$C$112:$C$113,0)-1,0)</f>
        <v>50.9</v>
      </c>
      <c r="F31" s="33">
        <f ca="1">32.3*OFFSET(F$112,MATCH($N$1,$C$112:$C$113,0)-1,0)</f>
        <v>32.299999999999997</v>
      </c>
      <c r="G31" s="33">
        <f ca="1">39*OFFSET(G$112,MATCH($N$1,$C$112:$C$113,0)-1,0)</f>
        <v>39</v>
      </c>
      <c r="H31" s="33">
        <f ca="1">29*OFFSET(H$112,MATCH($N$1,$C$112:$C$113,0)-1,0)</f>
        <v>29</v>
      </c>
      <c r="I31" s="33">
        <f ca="1">45.6*OFFSET(I$112,MATCH($N$1,$C$112:$C$113,0)-1,0)</f>
        <v>45.6</v>
      </c>
      <c r="J31" s="33">
        <f ca="1">39.3*OFFSET(J$112,MATCH($N$1,$C$112:$C$113,0)-1,0)</f>
        <v>39.299999999999997</v>
      </c>
      <c r="K31" s="33">
        <f ca="1">42.2*OFFSET(K$112,MATCH($N$1,$C$112:$C$113,0)-1,0)</f>
        <v>42.2</v>
      </c>
      <c r="L31" s="33">
        <f ca="1">47.6*OFFSET(L$112,MATCH($N$1,$C$112:$C$113,0)-1,0)</f>
        <v>47.6</v>
      </c>
      <c r="M31" s="33">
        <f ca="1">29.6*OFFSET(M$112,MATCH($N$1,$C$112:$C$113,0)-1,0)</f>
        <v>29.6</v>
      </c>
      <c r="N31" s="33">
        <v>35.4</v>
      </c>
      <c r="O31" s="29">
        <f t="shared" ca="1" si="0"/>
        <v>-0.12376237623762376</v>
      </c>
      <c r="P31" s="29">
        <f t="shared" ca="1" si="1"/>
        <v>-9.9236641221374017E-2</v>
      </c>
    </row>
    <row r="32" spans="1:16" ht="18" customHeight="1" x14ac:dyDescent="0.2">
      <c r="A32" s="199"/>
      <c r="B32" s="37" t="s">
        <v>74</v>
      </c>
      <c r="C32" s="33"/>
      <c r="D32" s="33">
        <f ca="1">14.2*OFFSET(D$112,MATCH($N$1,$C$112:$C$113,0)-1,0)</f>
        <v>14.2</v>
      </c>
      <c r="E32" s="33">
        <f ca="1">16.6*OFFSET(E$112,MATCH($N$1,$C$112:$C$113,0)-1,0)</f>
        <v>16.600000000000001</v>
      </c>
      <c r="F32" s="33">
        <f ca="1">17*OFFSET(F$112,MATCH($N$1,$C$112:$C$113,0)-1,0)</f>
        <v>17</v>
      </c>
      <c r="G32" s="33">
        <f ca="1">14.2*OFFSET(G$112,MATCH($N$1,$C$112:$C$113,0)-1,0)</f>
        <v>14.2</v>
      </c>
      <c r="H32" s="33">
        <f ca="1">34.2*OFFSET(H$112,MATCH($N$1,$C$112:$C$113,0)-1,0)</f>
        <v>34.200000000000003</v>
      </c>
      <c r="I32" s="33">
        <f ca="1">34*OFFSET(I$112,MATCH($N$1,$C$112:$C$113,0)-1,0)</f>
        <v>34</v>
      </c>
      <c r="J32" s="33">
        <f ca="1">33.3*OFFSET(J$112,MATCH($N$1,$C$112:$C$113,0)-1,0)</f>
        <v>33.299999999999997</v>
      </c>
      <c r="K32" s="33">
        <f ca="1">18.6*OFFSET(K$112,MATCH($N$1,$C$112:$C$113,0)-1,0)</f>
        <v>18.600000000000001</v>
      </c>
      <c r="L32" s="33">
        <f ca="1">19*OFFSET(L$112,MATCH($N$1,$C$112:$C$113,0)-1,0)</f>
        <v>19</v>
      </c>
      <c r="M32" s="33">
        <f ca="1">13.1*OFFSET(M$112,MATCH($N$1,$C$112:$C$113,0)-1,0)</f>
        <v>13.1</v>
      </c>
      <c r="N32" s="33">
        <v>16</v>
      </c>
      <c r="O32" s="29">
        <f t="shared" ca="1" si="0"/>
        <v>0.12676056338028174</v>
      </c>
      <c r="P32" s="29">
        <f t="shared" ca="1" si="1"/>
        <v>-0.51951951951951947</v>
      </c>
    </row>
    <row r="33" spans="1:16" ht="18" customHeight="1" x14ac:dyDescent="0.2">
      <c r="A33" s="199"/>
      <c r="B33" s="37" t="s">
        <v>75</v>
      </c>
      <c r="C33" s="33"/>
      <c r="D33" s="33">
        <f ca="1">85.7*OFFSET(D$112,MATCH($N$1,$C$112:$C$113,0)-1,0)</f>
        <v>85.7</v>
      </c>
      <c r="E33" s="33">
        <f ca="1">105.1*OFFSET(E$112,MATCH($N$1,$C$112:$C$113,0)-1,0)</f>
        <v>105.1</v>
      </c>
      <c r="F33" s="33">
        <f ca="1">81.7*OFFSET(F$112,MATCH($N$1,$C$112:$C$113,0)-1,0)</f>
        <v>81.7</v>
      </c>
      <c r="G33" s="33">
        <f ca="1">81.5*OFFSET(G$112,MATCH($N$1,$C$112:$C$113,0)-1,0)</f>
        <v>81.5</v>
      </c>
      <c r="H33" s="33">
        <f ca="1">83.4*OFFSET(H$112,MATCH($N$1,$C$112:$C$113,0)-1,0)</f>
        <v>83.4</v>
      </c>
      <c r="I33" s="33">
        <f ca="1">102.4*OFFSET(I$112,MATCH($N$1,$C$112:$C$113,0)-1,0)</f>
        <v>102.4</v>
      </c>
      <c r="J33" s="33">
        <f ca="1">95.3*OFFSET(J$112,MATCH($N$1,$C$112:$C$113,0)-1,0)</f>
        <v>95.3</v>
      </c>
      <c r="K33" s="33">
        <f ca="1">88.1*OFFSET(K$112,MATCH($N$1,$C$112:$C$113,0)-1,0)</f>
        <v>88.1</v>
      </c>
      <c r="L33" s="33">
        <f ca="1">94.3*OFFSET(L$112,MATCH($N$1,$C$112:$C$113,0)-1,0)</f>
        <v>94.3</v>
      </c>
      <c r="M33" s="33">
        <f ca="1">59.6*OFFSET(M$112,MATCH($N$1,$C$112:$C$113,0)-1,0)</f>
        <v>59.6</v>
      </c>
      <c r="N33" s="33">
        <v>73.900000000000006</v>
      </c>
      <c r="O33" s="29">
        <f t="shared" ca="1" si="0"/>
        <v>-0.1376896149358226</v>
      </c>
      <c r="P33" s="29">
        <f t="shared" ca="1" si="1"/>
        <v>-0.22455403987408176</v>
      </c>
    </row>
    <row r="34" spans="1:16" ht="18" customHeight="1" x14ac:dyDescent="0.2">
      <c r="A34" s="199"/>
      <c r="B34" s="37" t="s">
        <v>76</v>
      </c>
      <c r="C34" s="33"/>
      <c r="D34" s="33">
        <f ca="1">33.7*OFFSET(D$112,MATCH($N$1,$C$112:$C$113,0)-1,0)</f>
        <v>33.700000000000003</v>
      </c>
      <c r="E34" s="33">
        <f ca="1">31.2*OFFSET(E$112,MATCH($N$1,$C$112:$C$113,0)-1,0)</f>
        <v>31.2</v>
      </c>
      <c r="F34" s="33">
        <f ca="1">36.1*OFFSET(F$112,MATCH($N$1,$C$112:$C$113,0)-1,0)</f>
        <v>36.1</v>
      </c>
      <c r="G34" s="33">
        <f ca="1">42.4*OFFSET(G$112,MATCH($N$1,$C$112:$C$113,0)-1,0)</f>
        <v>42.4</v>
      </c>
      <c r="H34" s="33">
        <f ca="1">32.2*OFFSET(H$112,MATCH($N$1,$C$112:$C$113,0)-1,0)</f>
        <v>32.200000000000003</v>
      </c>
      <c r="I34" s="33">
        <f ca="1">47.5*OFFSET(I$112,MATCH($N$1,$C$112:$C$113,0)-1,0)</f>
        <v>47.5</v>
      </c>
      <c r="J34" s="33">
        <f ca="1">50.4*OFFSET(J$112,MATCH($N$1,$C$112:$C$113,0)-1,0)</f>
        <v>50.4</v>
      </c>
      <c r="K34" s="33">
        <f ca="1">50.3*OFFSET(K$112,MATCH($N$1,$C$112:$C$113,0)-1,0)</f>
        <v>50.3</v>
      </c>
      <c r="L34" s="33">
        <f ca="1">65.1*OFFSET(L$112,MATCH($N$1,$C$112:$C$113,0)-1,0)</f>
        <v>65.099999999999994</v>
      </c>
      <c r="M34" s="33">
        <f ca="1">56.9*OFFSET(M$112,MATCH($N$1,$C$112:$C$113,0)-1,0)</f>
        <v>56.9</v>
      </c>
      <c r="N34" s="33">
        <v>53.6</v>
      </c>
      <c r="O34" s="29">
        <f t="shared" ca="1" si="0"/>
        <v>0.59050445103857563</v>
      </c>
      <c r="P34" s="29">
        <f t="shared" ca="1" si="1"/>
        <v>6.3492063492063544E-2</v>
      </c>
    </row>
    <row r="35" spans="1:16" ht="18" customHeight="1" x14ac:dyDescent="0.2">
      <c r="A35" s="199"/>
      <c r="B35" s="37" t="s">
        <v>77</v>
      </c>
      <c r="C35" s="33"/>
      <c r="D35" s="33">
        <f ca="1">119.4*OFFSET(D$112,MATCH($N$1,$C$112:$C$113,0)-1,0)</f>
        <v>119.4</v>
      </c>
      <c r="E35" s="33">
        <f ca="1">136.3*OFFSET(E$112,MATCH($N$1,$C$112:$C$113,0)-1,0)</f>
        <v>136.30000000000001</v>
      </c>
      <c r="F35" s="33">
        <f ca="1">117.8*OFFSET(F$112,MATCH($N$1,$C$112:$C$113,0)-1,0)</f>
        <v>117.8</v>
      </c>
      <c r="G35" s="33">
        <f ca="1">123.9*OFFSET(G$112,MATCH($N$1,$C$112:$C$113,0)-1,0)</f>
        <v>123.9</v>
      </c>
      <c r="H35" s="33">
        <f ca="1">115.5*OFFSET(H$112,MATCH($N$1,$C$112:$C$113,0)-1,0)</f>
        <v>115.5</v>
      </c>
      <c r="I35" s="33">
        <f ca="1">149.9*OFFSET(I$112,MATCH($N$1,$C$112:$C$113,0)-1,0)</f>
        <v>149.9</v>
      </c>
      <c r="J35" s="33">
        <f ca="1">145.7*OFFSET(J$112,MATCH($N$1,$C$112:$C$113,0)-1,0)</f>
        <v>145.69999999999999</v>
      </c>
      <c r="K35" s="33">
        <f ca="1">138.4*OFFSET(K$112,MATCH($N$1,$C$112:$C$113,0)-1,0)</f>
        <v>138.4</v>
      </c>
      <c r="L35" s="33">
        <f ca="1">159.3*OFFSET(L$112,MATCH($N$1,$C$112:$C$113,0)-1,0)</f>
        <v>159.30000000000001</v>
      </c>
      <c r="M35" s="33">
        <f ca="1">116.6*OFFSET(M$112,MATCH($N$1,$C$112:$C$113,0)-1,0)</f>
        <v>116.6</v>
      </c>
      <c r="N35" s="33">
        <v>127.5</v>
      </c>
      <c r="O35" s="29">
        <f t="shared" ca="1" si="0"/>
        <v>6.7839195979899444E-2</v>
      </c>
      <c r="P35" s="29">
        <f t="shared" ca="1" si="1"/>
        <v>-0.124914207275223</v>
      </c>
    </row>
    <row r="36" spans="1:16" ht="18" customHeight="1" x14ac:dyDescent="0.2">
      <c r="A36" s="199"/>
      <c r="B36" s="42" t="s">
        <v>78</v>
      </c>
      <c r="C36" s="43"/>
      <c r="D36" s="43">
        <f ca="1">57*OFFSET(D$112,MATCH($N$1,$C$112:$C$113,0)-1,0)</f>
        <v>57</v>
      </c>
      <c r="E36" s="43">
        <f ca="1">90.2*OFFSET(E$112,MATCH($N$1,$C$112:$C$113,0)-1,0)</f>
        <v>90.2</v>
      </c>
      <c r="F36" s="43">
        <f ca="1">54.8*OFFSET(F$112,MATCH($N$1,$C$112:$C$113,0)-1,0)</f>
        <v>54.8</v>
      </c>
      <c r="G36" s="43">
        <f ca="1">67.8*OFFSET(G$112,MATCH($N$1,$C$112:$C$113,0)-1,0)</f>
        <v>67.8</v>
      </c>
      <c r="H36" s="43">
        <f ca="1">60.1*OFFSET(H$112,MATCH($N$1,$C$112:$C$113,0)-1,0)</f>
        <v>60.1</v>
      </c>
      <c r="I36" s="43">
        <f ca="1">78.5*OFFSET(I$112,MATCH($N$1,$C$112:$C$113,0)-1,0)</f>
        <v>78.5</v>
      </c>
      <c r="J36" s="43">
        <f ca="1">59.2*OFFSET(J$112,MATCH($N$1,$C$112:$C$113,0)-1,0)</f>
        <v>59.2</v>
      </c>
      <c r="K36" s="43">
        <f ca="1">69.6*OFFSET(K$112,MATCH($N$1,$C$112:$C$113,0)-1,0)</f>
        <v>69.599999999999994</v>
      </c>
      <c r="L36" s="43">
        <f ca="1">76*OFFSET(L$112,MATCH($N$1,$C$112:$C$113,0)-1,0)</f>
        <v>76</v>
      </c>
      <c r="M36" s="43">
        <f ca="1">60.7*OFFSET(M$112,MATCH($N$1,$C$112:$C$113,0)-1,0)</f>
        <v>60.7</v>
      </c>
      <c r="N36" s="43">
        <v>80</v>
      </c>
      <c r="O36" s="29">
        <f t="shared" ca="1" si="0"/>
        <v>0.40350877192982454</v>
      </c>
      <c r="P36" s="29">
        <f t="shared" ca="1" si="1"/>
        <v>0.35135135135135126</v>
      </c>
    </row>
    <row r="37" spans="1:16" ht="18" customHeight="1" x14ac:dyDescent="0.2">
      <c r="A37" s="199"/>
      <c r="B37" s="42" t="s">
        <v>79</v>
      </c>
      <c r="C37" s="43"/>
      <c r="D37" s="43">
        <f ca="1">16.6*OFFSET(D$112,MATCH($N$1,$C$112:$C$113,0)-1,0)</f>
        <v>16.600000000000001</v>
      </c>
      <c r="E37" s="43">
        <f ca="1">39.3*OFFSET(E$112,MATCH($N$1,$C$112:$C$113,0)-1,0)</f>
        <v>39.299999999999997</v>
      </c>
      <c r="F37" s="43">
        <f ca="1">22.5*OFFSET(F$112,MATCH($N$1,$C$112:$C$113,0)-1,0)</f>
        <v>22.5</v>
      </c>
      <c r="G37" s="43">
        <f ca="1">28.8*OFFSET(G$112,MATCH($N$1,$C$112:$C$113,0)-1,0)</f>
        <v>28.8</v>
      </c>
      <c r="H37" s="43">
        <f ca="1">31.1*OFFSET(H$112,MATCH($N$1,$C$112:$C$113,0)-1,0)</f>
        <v>31.1</v>
      </c>
      <c r="I37" s="43">
        <f ca="1">32.9*OFFSET(I$112,MATCH($N$1,$C$112:$C$113,0)-1,0)</f>
        <v>32.9</v>
      </c>
      <c r="J37" s="43">
        <f ca="1">19.9*OFFSET(J$112,MATCH($N$1,$C$112:$C$113,0)-1,0)</f>
        <v>19.899999999999999</v>
      </c>
      <c r="K37" s="43">
        <f ca="1">27.4*OFFSET(K$112,MATCH($N$1,$C$112:$C$113,0)-1,0)</f>
        <v>27.4</v>
      </c>
      <c r="L37" s="43">
        <f ca="1">28.4*OFFSET(L$112,MATCH($N$1,$C$112:$C$113,0)-1,0)</f>
        <v>28.4</v>
      </c>
      <c r="M37" s="43">
        <f ca="1">31.1*OFFSET(M$112,MATCH($N$1,$C$112:$C$113,0)-1,0)</f>
        <v>31.1</v>
      </c>
      <c r="N37" s="43">
        <v>44.6</v>
      </c>
      <c r="O37" s="29">
        <f t="shared" ca="1" si="0"/>
        <v>1.6867469879518071</v>
      </c>
      <c r="P37" s="29">
        <f t="shared" ca="1" si="1"/>
        <v>1.2412060301507539</v>
      </c>
    </row>
    <row r="38" spans="1:16" ht="18" customHeight="1" x14ac:dyDescent="0.2">
      <c r="A38" s="199"/>
      <c r="B38" s="37" t="s">
        <v>80</v>
      </c>
      <c r="C38" s="33"/>
      <c r="D38" s="33">
        <f ca="1">9.3*OFFSET(D$112,MATCH($N$1,$C$112:$C$113,0)-1,0)</f>
        <v>9.3000000000000007</v>
      </c>
      <c r="E38" s="33">
        <f ca="1">8*OFFSET(E$112,MATCH($N$1,$C$112:$C$113,0)-1,0)</f>
        <v>8</v>
      </c>
      <c r="F38" s="33">
        <f ca="1">10.8*OFFSET(F$112,MATCH($N$1,$C$112:$C$113,0)-1,0)</f>
        <v>10.8</v>
      </c>
      <c r="G38" s="33">
        <f ca="1">7.8*OFFSET(G$112,MATCH($N$1,$C$112:$C$113,0)-1,0)</f>
        <v>7.8</v>
      </c>
      <c r="H38" s="33">
        <f ca="1">9.4*OFFSET(H$112,MATCH($N$1,$C$112:$C$113,0)-1,0)</f>
        <v>9.4</v>
      </c>
      <c r="I38" s="33">
        <f ca="1">8.8*OFFSET(I$112,MATCH($N$1,$C$112:$C$113,0)-1,0)</f>
        <v>8.8000000000000007</v>
      </c>
      <c r="J38" s="33">
        <f ca="1">7.3*OFFSET(J$112,MATCH($N$1,$C$112:$C$113,0)-1,0)</f>
        <v>7.3</v>
      </c>
      <c r="K38" s="33">
        <f ca="1">9.1*OFFSET(K$112,MATCH($N$1,$C$112:$C$113,0)-1,0)</f>
        <v>9.1</v>
      </c>
      <c r="L38" s="33">
        <f ca="1">15*OFFSET(L$112,MATCH($N$1,$C$112:$C$113,0)-1,0)</f>
        <v>15</v>
      </c>
      <c r="M38" s="33">
        <f ca="1">17.9*OFFSET(M$112,MATCH($N$1,$C$112:$C$113,0)-1,0)</f>
        <v>17.899999999999999</v>
      </c>
      <c r="N38" s="33"/>
      <c r="O38" s="29" t="str">
        <f t="shared" si="0"/>
        <v/>
      </c>
      <c r="P38" s="29" t="str">
        <f t="shared" si="1"/>
        <v/>
      </c>
    </row>
    <row r="39" spans="1:16" ht="18" customHeight="1" x14ac:dyDescent="0.2">
      <c r="A39" s="199"/>
      <c r="B39" s="37" t="s">
        <v>81</v>
      </c>
      <c r="C39" s="33"/>
      <c r="D39" s="33">
        <f ca="1">1.2*OFFSET(D$112,MATCH($N$1,$C$112:$C$113,0)-1,0)</f>
        <v>1.2</v>
      </c>
      <c r="E39" s="33">
        <f ca="1">1.3*OFFSET(E$112,MATCH($N$1,$C$112:$C$113,0)-1,0)</f>
        <v>1.3</v>
      </c>
      <c r="F39" s="33">
        <f ca="1">2.6*OFFSET(F$112,MATCH($N$1,$C$112:$C$113,0)-1,0)</f>
        <v>2.6</v>
      </c>
      <c r="G39" s="33">
        <f ca="1">1.7*OFFSET(G$112,MATCH($N$1,$C$112:$C$113,0)-1,0)</f>
        <v>1.7</v>
      </c>
      <c r="H39" s="33">
        <f ca="1">1.8*OFFSET(H$112,MATCH($N$1,$C$112:$C$113,0)-1,0)</f>
        <v>1.8</v>
      </c>
      <c r="I39" s="33">
        <f ca="1">2*OFFSET(I$112,MATCH($N$1,$C$112:$C$113,0)-1,0)</f>
        <v>2</v>
      </c>
      <c r="J39" s="33">
        <f ca="1">1.9*OFFSET(J$112,MATCH($N$1,$C$112:$C$113,0)-1,0)</f>
        <v>1.9</v>
      </c>
      <c r="K39" s="33">
        <f ca="1">3.9*OFFSET(K$112,MATCH($N$1,$C$112:$C$113,0)-1,0)</f>
        <v>3.9</v>
      </c>
      <c r="L39" s="33">
        <f ca="1">4.1*OFFSET(L$112,MATCH($N$1,$C$112:$C$113,0)-1,0)</f>
        <v>4.0999999999999996</v>
      </c>
      <c r="M39" s="33">
        <f ca="1">2.1*OFFSET(M$112,MATCH($N$1,$C$112:$C$113,0)-1,0)</f>
        <v>2.1</v>
      </c>
      <c r="N39" s="33"/>
      <c r="O39" s="29" t="str">
        <f t="shared" si="0"/>
        <v/>
      </c>
      <c r="P39" s="29" t="str">
        <f t="shared" si="1"/>
        <v/>
      </c>
    </row>
    <row r="40" spans="1:16" ht="18" customHeight="1" x14ac:dyDescent="0.2">
      <c r="A40" s="199"/>
      <c r="B40" s="37" t="s">
        <v>82</v>
      </c>
      <c r="C40" s="33"/>
      <c r="D40" s="33">
        <f ca="1">1.6*OFFSET(D$112,MATCH($N$1,$C$112:$C$113,0)-1,0)</f>
        <v>1.6</v>
      </c>
      <c r="E40" s="33">
        <f ca="1">0.5*OFFSET(E$112,MATCH($N$1,$C$112:$C$113,0)-1,0)</f>
        <v>0.5</v>
      </c>
      <c r="F40" s="33">
        <f ca="1">0.4*OFFSET(F$112,MATCH($N$1,$C$112:$C$113,0)-1,0)</f>
        <v>0.4</v>
      </c>
      <c r="G40" s="33">
        <f ca="1">0.3*OFFSET(G$112,MATCH($N$1,$C$112:$C$113,0)-1,0)</f>
        <v>0.3</v>
      </c>
      <c r="H40" s="33">
        <f ca="1">1.3*OFFSET(H$112,MATCH($N$1,$C$112:$C$113,0)-1,0)</f>
        <v>1.3</v>
      </c>
      <c r="I40" s="33">
        <f ca="1">1*OFFSET(I$112,MATCH($N$1,$C$112:$C$113,0)-1,0)</f>
        <v>1</v>
      </c>
      <c r="J40" s="33">
        <f ca="1">1*OFFSET(J$112,MATCH($N$1,$C$112:$C$113,0)-1,0)</f>
        <v>1</v>
      </c>
      <c r="K40" s="33">
        <f ca="1">0.7*OFFSET(K$112,MATCH($N$1,$C$112:$C$113,0)-1,0)</f>
        <v>0.7</v>
      </c>
      <c r="L40" s="33">
        <f ca="1">0.4*OFFSET(L$112,MATCH($N$1,$C$112:$C$113,0)-1,0)</f>
        <v>0.4</v>
      </c>
      <c r="M40" s="33">
        <f ca="1">0.2*OFFSET(M$112,MATCH($N$1,$C$112:$C$113,0)-1,0)</f>
        <v>0.2</v>
      </c>
      <c r="N40" s="33"/>
      <c r="O40" s="29" t="str">
        <f t="shared" si="0"/>
        <v/>
      </c>
      <c r="P40" s="29" t="str">
        <f t="shared" si="1"/>
        <v/>
      </c>
    </row>
    <row r="41" spans="1:16" ht="18" customHeight="1" thickBot="1" x14ac:dyDescent="0.25">
      <c r="A41" s="200"/>
      <c r="B41" s="44" t="s">
        <v>83</v>
      </c>
      <c r="C41" s="45"/>
      <c r="D41" s="45">
        <f ca="1">4.5*OFFSET(D$112,MATCH($N$1,$C$112:$C$113,0)-1,0)</f>
        <v>4.5</v>
      </c>
      <c r="E41" s="45">
        <f ca="1">29.5*OFFSET(E$112,MATCH($N$1,$C$112:$C$113,0)-1,0)</f>
        <v>29.5</v>
      </c>
      <c r="F41" s="45">
        <f ca="1">8.8*OFFSET(F$112,MATCH($N$1,$C$112:$C$113,0)-1,0)</f>
        <v>8.8000000000000007</v>
      </c>
      <c r="G41" s="45">
        <f ca="1">19*OFFSET(G$112,MATCH($N$1,$C$112:$C$113,0)-1,0)</f>
        <v>19</v>
      </c>
      <c r="H41" s="45">
        <f ca="1">18.7*OFFSET(H$112,MATCH($N$1,$C$112:$C$113,0)-1,0)</f>
        <v>18.7</v>
      </c>
      <c r="I41" s="45">
        <f ca="1">21.1*OFFSET(I$112,MATCH($N$1,$C$112:$C$113,0)-1,0)</f>
        <v>21.1</v>
      </c>
      <c r="J41" s="45">
        <f ca="1">9.7*OFFSET(J$112,MATCH($N$1,$C$112:$C$113,0)-1,0)</f>
        <v>9.6999999999999993</v>
      </c>
      <c r="K41" s="45">
        <f ca="1">13.7*OFFSET(K$112,MATCH($N$1,$C$112:$C$113,0)-1,0)</f>
        <v>13.7</v>
      </c>
      <c r="L41" s="45">
        <f ca="1">8.9*OFFSET(L$112,MATCH($N$1,$C$112:$C$113,0)-1,0)</f>
        <v>8.9</v>
      </c>
      <c r="M41" s="45">
        <f ca="1">4.6*OFFSET(M$112,MATCH($N$1,$C$112:$C$113,0)-1,0)</f>
        <v>4.5999999999999996</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149</v>
      </c>
      <c r="F46" s="94" t="s">
        <v>130</v>
      </c>
      <c r="G46" s="94" t="s">
        <v>130</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UK scallop dredge under 15m</v>
      </c>
      <c r="C48" s="96"/>
      <c r="D48" s="96"/>
      <c r="E48" s="96"/>
      <c r="F48" s="96"/>
      <c r="G48" s="96"/>
      <c r="K48" s="96" t="str">
        <f>$B24&amp;CHAR(10)&amp;$A$1</f>
        <v>Operating profit per kW day at sea (£)
UK scallop dredge under 15m</v>
      </c>
    </row>
    <row r="49" spans="1:11" s="82" customFormat="1" x14ac:dyDescent="0.2">
      <c r="A49" s="96" t="str">
        <f>$B22&amp;CHAR(10)&amp;$A$1</f>
        <v>Fishing income per kW day at sea (£)
UK scallop dredge under 15m</v>
      </c>
    </row>
    <row r="50" spans="1:11" s="82" customFormat="1" x14ac:dyDescent="0.2">
      <c r="A50" s="96" t="str">
        <f>$B20&amp;CHAR(10)&amp;$A$1</f>
        <v>Average price per tonne landed (£)
UK scallop dredge under 15m</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UK scallop dredge under 15m</v>
      </c>
      <c r="F62" s="96" t="str">
        <f>$B20&amp;CHAR(10)&amp;$A$1</f>
        <v>Average price per tonne landed (£)
UK scallop dredge under 15m</v>
      </c>
      <c r="K62" s="96" t="str">
        <f>"Average annual operating profit per vessel (£'000)"&amp;CHAR(10)&amp;$A$1</f>
        <v>Average annual operating profit per vessel (£'000)
UK scallop dredge under 15m</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UK scallop dredge under 15m</v>
      </c>
      <c r="F76" s="96" t="str">
        <f>"Top 5 landed species by value in "&amp;A77&amp;CHAR(10)&amp;A1</f>
        <v>Top 5 landed species by value in 2020
UK scallop dredge under 15m</v>
      </c>
    </row>
    <row r="77" spans="1:11" s="96" customFormat="1" x14ac:dyDescent="0.2">
      <c r="A77" s="96">
        <v>2020</v>
      </c>
      <c r="B77" s="96" t="s">
        <v>444</v>
      </c>
      <c r="C77" s="97">
        <v>0.5138043914669902</v>
      </c>
      <c r="D77" s="98">
        <v>553960</v>
      </c>
      <c r="G77" s="96" t="s">
        <v>445</v>
      </c>
      <c r="H77" s="97">
        <v>0.52163449693638897</v>
      </c>
      <c r="I77" s="98">
        <v>12153634</v>
      </c>
      <c r="K77" s="96" t="s">
        <v>87</v>
      </c>
    </row>
    <row r="78" spans="1:11" s="96" customFormat="1" x14ac:dyDescent="0.2">
      <c r="B78" s="96" t="s">
        <v>446</v>
      </c>
      <c r="C78" s="97">
        <v>0.37108659175814451</v>
      </c>
      <c r="D78" s="98">
        <v>12153634</v>
      </c>
      <c r="G78" s="96" t="s">
        <v>447</v>
      </c>
      <c r="H78" s="97">
        <v>0.32764554683002872</v>
      </c>
      <c r="I78" s="98">
        <v>553960</v>
      </c>
    </row>
    <row r="79" spans="1:11" s="96" customFormat="1" x14ac:dyDescent="0.2">
      <c r="B79" s="96" t="s">
        <v>448</v>
      </c>
      <c r="C79" s="97">
        <v>3.7250324305665446E-2</v>
      </c>
      <c r="D79" s="98">
        <v>1692097</v>
      </c>
      <c r="G79" s="96" t="s">
        <v>449</v>
      </c>
      <c r="H79" s="97">
        <v>3.6272527548817053E-2</v>
      </c>
      <c r="I79" s="98">
        <v>3050596</v>
      </c>
    </row>
    <row r="80" spans="1:11" s="96" customFormat="1" x14ac:dyDescent="0.2">
      <c r="B80" s="96" t="s">
        <v>450</v>
      </c>
      <c r="C80" s="97">
        <v>2.0975747319967368E-2</v>
      </c>
      <c r="D80" s="98">
        <v>11115023</v>
      </c>
      <c r="G80" s="96" t="s">
        <v>451</v>
      </c>
      <c r="H80" s="97">
        <v>1.94232278573363E-2</v>
      </c>
      <c r="I80" s="98">
        <v>1692097</v>
      </c>
    </row>
    <row r="81" spans="1:19" s="96" customFormat="1" x14ac:dyDescent="0.2">
      <c r="B81" s="96" t="s">
        <v>452</v>
      </c>
      <c r="C81" s="97">
        <v>1.4572876156756063E-2</v>
      </c>
      <c r="D81" s="98">
        <v>3050596</v>
      </c>
      <c r="G81" s="96" t="s">
        <v>453</v>
      </c>
      <c r="H81" s="97">
        <v>1.8471922174806692E-2</v>
      </c>
      <c r="I81" s="98">
        <v>3689192</v>
      </c>
    </row>
    <row r="82" spans="1:19" s="96" customFormat="1" x14ac:dyDescent="0.2">
      <c r="B82" s="96" t="s">
        <v>454</v>
      </c>
      <c r="C82" s="97">
        <v>4.2310068992476468E-2</v>
      </c>
      <c r="D82" s="98">
        <v>5920853</v>
      </c>
      <c r="G82" s="96" t="s">
        <v>455</v>
      </c>
      <c r="H82" s="97">
        <v>7.6552278652622374E-2</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100</v>
      </c>
      <c r="D92" s="102">
        <v>0.78867670221226127</v>
      </c>
      <c r="E92" s="102">
        <v>0.62817239922982482</v>
      </c>
      <c r="F92" s="102">
        <v>0.58764601005496475</v>
      </c>
      <c r="G92" s="102">
        <v>0.64152355260442473</v>
      </c>
      <c r="H92" s="102">
        <v>0.74493555865772021</v>
      </c>
      <c r="I92" s="102">
        <v>0.70645041176600065</v>
      </c>
      <c r="J92" s="102">
        <v>0.6684537411584851</v>
      </c>
      <c r="K92" s="102">
        <v>0.51563285791783164</v>
      </c>
      <c r="L92" s="102">
        <v>0.52163449693638897</v>
      </c>
      <c r="M92" s="102">
        <v>0.5242109358617022</v>
      </c>
      <c r="O92" s="96">
        <v>12153634</v>
      </c>
    </row>
    <row r="93" spans="1:19" s="96" customFormat="1" hidden="1" x14ac:dyDescent="0.2">
      <c r="B93" s="96">
        <v>2</v>
      </c>
      <c r="C93" s="96" t="s">
        <v>247</v>
      </c>
      <c r="D93" s="102">
        <v>4.8471725446773438E-2</v>
      </c>
      <c r="E93" s="102">
        <v>0.20863348629009296</v>
      </c>
      <c r="F93" s="102">
        <v>0.30023936520980943</v>
      </c>
      <c r="G93" s="102">
        <v>0.19686152009018201</v>
      </c>
      <c r="H93" s="102">
        <v>0.12233488914876457</v>
      </c>
      <c r="I93" s="102">
        <v>0.13547984459816786</v>
      </c>
      <c r="J93" s="102">
        <v>0.19798146267145555</v>
      </c>
      <c r="K93" s="102">
        <v>0.31624523803567939</v>
      </c>
      <c r="L93" s="102">
        <v>0.32764554683002872</v>
      </c>
      <c r="M93" s="102">
        <v>0.32368612966087285</v>
      </c>
      <c r="O93" s="96">
        <v>553960</v>
      </c>
    </row>
    <row r="94" spans="1:19" s="96" customFormat="1" hidden="1" x14ac:dyDescent="0.2">
      <c r="B94" s="96">
        <v>3</v>
      </c>
      <c r="C94" s="96" t="s">
        <v>456</v>
      </c>
      <c r="D94" s="102">
        <v>2.1093047312016645E-2</v>
      </c>
      <c r="E94" s="102">
        <v>1.2119588158582566E-2</v>
      </c>
      <c r="F94" s="102">
        <v>1.0334909089839974E-2</v>
      </c>
      <c r="G94" s="102">
        <v>2.5785374445804594E-2</v>
      </c>
      <c r="H94" s="102">
        <v>1.7788174974041282E-2</v>
      </c>
      <c r="I94" s="102">
        <v>1.7076207856514494E-2</v>
      </c>
      <c r="J94" s="102">
        <v>2.1108349993125816E-2</v>
      </c>
      <c r="K94" s="102">
        <v>2.1000933911881431E-2</v>
      </c>
      <c r="L94" s="102">
        <v>3.6272527548817053E-2</v>
      </c>
      <c r="M94" s="102">
        <v>3.2504078673995775E-2</v>
      </c>
      <c r="O94" s="96">
        <v>3050596</v>
      </c>
    </row>
    <row r="95" spans="1:19" s="96" customFormat="1" hidden="1" x14ac:dyDescent="0.2">
      <c r="B95" s="96">
        <v>4</v>
      </c>
      <c r="C95" s="96" t="s">
        <v>105</v>
      </c>
      <c r="D95" s="102">
        <v>5.365085951782942E-2</v>
      </c>
      <c r="E95" s="102">
        <v>6.689289940242453E-2</v>
      </c>
      <c r="F95" s="102">
        <v>3.5317946210666487E-2</v>
      </c>
      <c r="G95" s="102">
        <v>4.1250719681486053E-2</v>
      </c>
      <c r="H95" s="102">
        <v>4.1984327327435227E-2</v>
      </c>
      <c r="I95" s="102">
        <v>3.9747335517461936E-2</v>
      </c>
      <c r="J95" s="102">
        <v>2.4486952070146485E-2</v>
      </c>
      <c r="K95" s="102"/>
      <c r="L95" s="102">
        <v>1.94232278573363E-2</v>
      </c>
      <c r="M95" s="102"/>
      <c r="O95" s="96">
        <v>1692097</v>
      </c>
    </row>
    <row r="96" spans="1:19" s="96" customFormat="1" hidden="1" x14ac:dyDescent="0.2">
      <c r="B96" s="96">
        <v>5</v>
      </c>
      <c r="C96" s="96" t="s">
        <v>144</v>
      </c>
      <c r="D96" s="102"/>
      <c r="E96" s="102">
        <v>1.0927562568264619E-2</v>
      </c>
      <c r="F96" s="102"/>
      <c r="G96" s="102"/>
      <c r="H96" s="102"/>
      <c r="I96" s="102"/>
      <c r="J96" s="102"/>
      <c r="K96" s="102">
        <v>2.2917875008696017E-2</v>
      </c>
      <c r="L96" s="102">
        <v>1.8471922174806692E-2</v>
      </c>
      <c r="M96" s="102">
        <v>2.6885355562425588E-2</v>
      </c>
      <c r="O96" s="96">
        <v>3689192</v>
      </c>
    </row>
    <row r="97" spans="1:15" s="96" customFormat="1" hidden="1" x14ac:dyDescent="0.2">
      <c r="B97" s="96">
        <v>6</v>
      </c>
      <c r="C97" s="96" t="s">
        <v>161</v>
      </c>
      <c r="D97" s="102"/>
      <c r="E97" s="102"/>
      <c r="F97" s="102"/>
      <c r="G97" s="102">
        <v>2.7760692307386488E-2</v>
      </c>
      <c r="H97" s="102"/>
      <c r="I97" s="102"/>
      <c r="J97" s="102"/>
      <c r="K97" s="102">
        <v>2.4127922406505208E-2</v>
      </c>
      <c r="L97" s="102"/>
      <c r="M97" s="102">
        <v>2.0991675663013919E-2</v>
      </c>
      <c r="O97" s="96">
        <v>11115023</v>
      </c>
    </row>
    <row r="98" spans="1:15" s="96" customFormat="1" hidden="1" x14ac:dyDescent="0.2">
      <c r="B98" s="96">
        <v>7</v>
      </c>
      <c r="C98" s="96" t="s">
        <v>162</v>
      </c>
      <c r="D98" s="102"/>
      <c r="E98" s="102"/>
      <c r="F98" s="102"/>
      <c r="G98" s="102"/>
      <c r="H98" s="102"/>
      <c r="I98" s="102">
        <v>1.5519442079912564E-2</v>
      </c>
      <c r="J98" s="102">
        <v>1.268155529860091E-2</v>
      </c>
      <c r="K98" s="102"/>
      <c r="L98" s="102"/>
      <c r="M98" s="102"/>
      <c r="O98" s="96">
        <v>2480382</v>
      </c>
    </row>
    <row r="99" spans="1:15" s="96" customFormat="1" hidden="1" x14ac:dyDescent="0.2">
      <c r="B99" s="96">
        <v>8</v>
      </c>
      <c r="C99" s="96" t="s">
        <v>102</v>
      </c>
      <c r="D99" s="102">
        <v>2.0845430011821271E-2</v>
      </c>
      <c r="E99" s="102"/>
      <c r="F99" s="102">
        <v>7.6106346343076245E-3</v>
      </c>
      <c r="G99" s="102"/>
      <c r="H99" s="102">
        <v>1.3414432075319161E-2</v>
      </c>
      <c r="I99" s="102"/>
      <c r="J99" s="102"/>
      <c r="K99" s="102"/>
      <c r="L99" s="102"/>
      <c r="M99" s="102"/>
      <c r="O99" s="96">
        <v>7434864</v>
      </c>
    </row>
    <row r="100" spans="1:15" s="96" customFormat="1" hidden="1" x14ac:dyDescent="0.2">
      <c r="B100" s="96">
        <v>9</v>
      </c>
      <c r="C100" s="96" t="s">
        <v>107</v>
      </c>
      <c r="D100" s="102">
        <v>6.7262235499297995E-2</v>
      </c>
      <c r="E100" s="102">
        <v>7.3254064350810527E-2</v>
      </c>
      <c r="F100" s="102">
        <v>5.8851134800411785E-2</v>
      </c>
      <c r="G100" s="102">
        <v>6.6818140870716108E-2</v>
      </c>
      <c r="H100" s="102">
        <v>5.9542617816719517E-2</v>
      </c>
      <c r="I100" s="102">
        <v>8.5726758181942517E-2</v>
      </c>
      <c r="J100" s="102">
        <v>7.52879388081861E-2</v>
      </c>
      <c r="K100" s="102">
        <v>0.10007517271940629</v>
      </c>
      <c r="L100" s="102">
        <v>7.6552278652622305E-2</v>
      </c>
      <c r="M100" s="102">
        <v>7.1721824577989687E-2</v>
      </c>
      <c r="O100" s="96">
        <v>5920853</v>
      </c>
    </row>
    <row r="101" spans="1:15" s="96" customFormat="1" hidden="1" x14ac:dyDescent="0.2">
      <c r="B101" s="96">
        <v>10</v>
      </c>
      <c r="D101" s="102"/>
      <c r="E101" s="102"/>
      <c r="F101" s="102"/>
      <c r="G101" s="102"/>
      <c r="H101" s="102"/>
      <c r="I101" s="102"/>
      <c r="J101" s="102"/>
      <c r="K101" s="102"/>
      <c r="L101" s="102"/>
      <c r="M101" s="102"/>
      <c r="O101" s="96">
        <v>14393110</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10</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47</v>
      </c>
      <c r="D120" s="56">
        <v>95</v>
      </c>
      <c r="E120" s="56">
        <v>47</v>
      </c>
      <c r="F120" s="57">
        <v>156</v>
      </c>
    </row>
    <row r="121" spans="1:15" ht="18" customHeight="1" x14ac:dyDescent="0.2">
      <c r="A121" s="194" t="s">
        <v>27</v>
      </c>
      <c r="B121" s="35" t="s">
        <v>62</v>
      </c>
      <c r="C121" s="58">
        <v>10.867446899414063</v>
      </c>
      <c r="D121" s="58">
        <v>11.078421000430458</v>
      </c>
      <c r="E121" s="58">
        <v>10.467020988464355</v>
      </c>
      <c r="F121" s="59">
        <v>11.009358406066895</v>
      </c>
    </row>
    <row r="122" spans="1:15" ht="18" customHeight="1" x14ac:dyDescent="0.2">
      <c r="A122" s="195"/>
      <c r="B122" s="37" t="s">
        <v>55</v>
      </c>
      <c r="C122" s="60">
        <v>129.06382751464844</v>
      </c>
      <c r="D122" s="60">
        <v>147.53684322959498</v>
      </c>
      <c r="E122" s="60">
        <v>126.04255676269531</v>
      </c>
      <c r="F122" s="61">
        <v>137.82051086425781</v>
      </c>
    </row>
    <row r="123" spans="1:15" ht="18" customHeight="1" x14ac:dyDescent="0.2">
      <c r="A123" s="195"/>
      <c r="B123" s="37" t="s">
        <v>56</v>
      </c>
      <c r="C123" s="60">
        <v>15.872340202331543</v>
      </c>
      <c r="D123" s="60">
        <v>20.652631819875616</v>
      </c>
      <c r="E123" s="60">
        <v>18.085105895996094</v>
      </c>
      <c r="F123" s="61">
        <v>19.30128288269043</v>
      </c>
    </row>
    <row r="124" spans="1:15" ht="18" customHeight="1" x14ac:dyDescent="0.2">
      <c r="A124" s="195"/>
      <c r="B124" s="37" t="s">
        <v>57</v>
      </c>
      <c r="C124" s="60">
        <v>105.66249847412109</v>
      </c>
      <c r="D124" s="60">
        <v>118.42505814401727</v>
      </c>
      <c r="E124" s="60">
        <v>99.885482788085938</v>
      </c>
      <c r="F124" s="61">
        <v>112.08512878417969</v>
      </c>
    </row>
    <row r="125" spans="1:15" ht="18" customHeight="1" x14ac:dyDescent="0.2">
      <c r="A125" s="195"/>
      <c r="B125" s="37" t="s">
        <v>58</v>
      </c>
      <c r="C125" s="33">
        <v>239.68505859375</v>
      </c>
      <c r="D125" s="33">
        <v>66.307237564890002</v>
      </c>
      <c r="E125" s="33">
        <v>29.392055511474609</v>
      </c>
      <c r="F125" s="62">
        <v>101.39292144775391</v>
      </c>
    </row>
    <row r="126" spans="1:15" ht="18" customHeight="1" x14ac:dyDescent="0.2">
      <c r="A126" s="195"/>
      <c r="B126" s="37" t="s">
        <v>63</v>
      </c>
      <c r="C126" s="33">
        <f ca="1">358.97171875*OFFSET($L$112,MATCH($N$1,$C$112:$C$113,0)-1,0)</f>
        <v>358.97171874999998</v>
      </c>
      <c r="D126" s="33">
        <f ca="1">150.402057730263*OFFSET($L$112,MATCH($N$1,$C$112:$C$113,0)-1,0)</f>
        <v>150.40205773026301</v>
      </c>
      <c r="E126" s="33">
        <f ca="1">57.8355859375*OFFSET($L$112,MATCH($N$1,$C$112:$C$113,0)-1,0)</f>
        <v>57.835585937499999</v>
      </c>
      <c r="F126" s="62">
        <f ca="1">134.36325*OFFSET($L$112,MATCH($N$1,$C$112:$C$113,0)-1,0)</f>
        <v>134.36324999999999</v>
      </c>
    </row>
    <row r="127" spans="1:15" ht="18" customHeight="1" x14ac:dyDescent="0.2">
      <c r="A127" s="195"/>
      <c r="B127" s="37" t="s">
        <v>60</v>
      </c>
      <c r="C127" s="60">
        <v>79.297874450683594</v>
      </c>
      <c r="D127" s="60">
        <v>114.8105284038343</v>
      </c>
      <c r="E127" s="60">
        <v>87.319145202636719</v>
      </c>
      <c r="F127" s="61">
        <v>83.788459777832031</v>
      </c>
    </row>
    <row r="128" spans="1:15" ht="18" customHeight="1" x14ac:dyDescent="0.2">
      <c r="A128" s="195"/>
      <c r="B128" s="37" t="s">
        <v>64</v>
      </c>
      <c r="C128" s="60">
        <v>24.553192138671875</v>
      </c>
      <c r="D128" s="60">
        <v>26.126315046611584</v>
      </c>
      <c r="E128" s="60">
        <v>28.976743698120117</v>
      </c>
      <c r="F128" s="61">
        <v>27.880794525146484</v>
      </c>
    </row>
    <row r="129" spans="1:15" ht="18" customHeight="1" x14ac:dyDescent="0.2">
      <c r="A129" s="195"/>
      <c r="B129" s="37" t="s">
        <v>65</v>
      </c>
      <c r="C129" s="63">
        <v>3.0225911140441895</v>
      </c>
      <c r="D129" s="63">
        <v>0.57753621106647179</v>
      </c>
      <c r="E129" s="63">
        <v>0.33660495281219482</v>
      </c>
      <c r="F129" s="64">
        <v>1.2101060152053833</v>
      </c>
    </row>
    <row r="130" spans="1:15" ht="18" customHeight="1" x14ac:dyDescent="0.2">
      <c r="A130" s="196"/>
      <c r="B130" s="39" t="s">
        <v>28</v>
      </c>
      <c r="C130" s="40">
        <f ca="1">1497.68083524319*OFFSET($L$112,MATCH($N$1,$C$112:$C$113,0)-1,0)</f>
        <v>1497.6808352431899</v>
      </c>
      <c r="D130" s="40">
        <f ca="1">2268.26004601799*OFFSET($L$112,MATCH($N$1,$C$112:$C$113,0)-1,0)</f>
        <v>2268.2600460179901</v>
      </c>
      <c r="E130" s="40">
        <f ca="1">1967.72852157009*OFFSET($L$112,MATCH($N$1,$C$112:$C$113,0)-1,0)</f>
        <v>1967.7285215700899</v>
      </c>
      <c r="F130" s="65">
        <f ca="1">1325*OFFSET($L$112,MATCH($N$1,$C$112:$C$113,0)-1,0)</f>
        <v>1325</v>
      </c>
    </row>
    <row r="131" spans="1:15" ht="18" customHeight="1" x14ac:dyDescent="0.2">
      <c r="A131" s="205" t="s">
        <v>29</v>
      </c>
      <c r="B131" s="35" t="s">
        <v>66</v>
      </c>
      <c r="C131" s="66">
        <v>20.627017634329945</v>
      </c>
      <c r="D131" s="66">
        <v>3.4609856196851427</v>
      </c>
      <c r="E131" s="66">
        <v>2.553091154113067</v>
      </c>
      <c r="F131" s="67">
        <v>7.8399621634721637</v>
      </c>
    </row>
    <row r="132" spans="1:15" ht="18" customHeight="1" x14ac:dyDescent="0.2">
      <c r="A132" s="206"/>
      <c r="B132" s="37" t="s">
        <v>67</v>
      </c>
      <c r="C132" s="63">
        <f ca="1">30.8926889991592*OFFSET($L$112,MATCH($N$1,$C$112:$C$113,0)-1,0)</f>
        <v>30.892688999159201</v>
      </c>
      <c r="D132" s="63">
        <f ca="1">7.85041540097462*OFFSET($L$112,MATCH($N$1,$C$112:$C$113,0)-1,0)</f>
        <v>7.8504154009746197</v>
      </c>
      <c r="E132" s="63">
        <f ca="1">5.02379028211658*OFFSET($L$112,MATCH($N$1,$C$112:$C$113,0)-1,0)</f>
        <v>5.0237902821165799</v>
      </c>
      <c r="F132" s="64">
        <f ca="1">10.3893129926624*OFFSET($L$112,MATCH($N$1,$C$112:$C$113,0)-1,0)</f>
        <v>10.389312992662401</v>
      </c>
    </row>
    <row r="133" spans="1:15" ht="18" customHeight="1" x14ac:dyDescent="0.2">
      <c r="A133" s="206"/>
      <c r="B133" s="37" t="s">
        <v>11</v>
      </c>
      <c r="C133" s="63">
        <f ca="1">22.9310066967895*OFFSET($L$112,MATCH($N$1,$C$112:$C$113,0)-1,0)</f>
        <v>22.931006696789499</v>
      </c>
      <c r="D133" s="63">
        <f ca="1">7.10565135745025*OFFSET($L$112,MATCH($N$1,$C$112:$C$113,0)-1,0)</f>
        <v>7.1056513574502498</v>
      </c>
      <c r="E133" s="63">
        <f ca="1">5.63460207486243*OFFSET($L$112,MATCH($N$1,$C$112:$C$113,0)-1,0)</f>
        <v>5.6346020748624301</v>
      </c>
      <c r="F133" s="64">
        <f ca="1">7.98237770101398*OFFSET($L$112,MATCH($N$1,$C$112:$C$113,0)-1,0)</f>
        <v>7.9823777010139798</v>
      </c>
    </row>
    <row r="134" spans="1:15" ht="18" customHeight="1" x14ac:dyDescent="0.2">
      <c r="A134" s="207"/>
      <c r="B134" s="39" t="s">
        <v>12</v>
      </c>
      <c r="C134" s="68">
        <f ca="1">7.96168230236974*OFFSET($L$112,MATCH($N$1,$C$112:$C$113,0)-1,0)</f>
        <v>7.9616823023697396</v>
      </c>
      <c r="D134" s="68">
        <f ca="1">0.74476404352437*OFFSET($L$112,MATCH($N$1,$C$112:$C$113,0)-1,0)</f>
        <v>0.74476404352436998</v>
      </c>
      <c r="E134" s="68">
        <f ca="1">-0.610811792745845*OFFSET($L$112,MATCH($N$1,$C$112:$C$113,0)-1,0)</f>
        <v>-0.61081179274584496</v>
      </c>
      <c r="F134" s="69">
        <f ca="1">2.40693529164846*OFFSET($L$112,MATCH($N$1,$C$112:$C$113,0)-1,0)</f>
        <v>2.4069352916484599</v>
      </c>
    </row>
    <row r="135" spans="1:15" ht="18" customHeight="1" x14ac:dyDescent="0.2">
      <c r="A135" s="208" t="s">
        <v>49</v>
      </c>
      <c r="B135" s="37" t="s">
        <v>109</v>
      </c>
      <c r="C135" s="70">
        <f ca="1">19.790154296875*OFFSET($L$112,MATCH($N$1,$C$112:$C$113,0)-1,0)</f>
        <v>19.790154296874999</v>
      </c>
      <c r="D135" s="70">
        <f ca="1">32.7848340460526*OFFSET($L$112,MATCH($N$1,$C$112:$C$113,0)-1,0)</f>
        <v>32.784834046052602</v>
      </c>
      <c r="E135" s="70">
        <f ca="1">25.125779296875*OFFSET($L$112,MATCH($N$1,$C$112:$C$113,0)-1,0)</f>
        <v>25.125779296874999</v>
      </c>
      <c r="F135" s="71">
        <f ca="1">16.94337890625*OFFSET($L$112,MATCH($N$1,$C$112:$C$113,0)-1,0)</f>
        <v>16.94337890625</v>
      </c>
    </row>
    <row r="136" spans="1:15" ht="18" customHeight="1" x14ac:dyDescent="0.2">
      <c r="A136" s="209"/>
      <c r="B136" s="37" t="s">
        <v>110</v>
      </c>
      <c r="C136" s="31">
        <v>37808.511676266091</v>
      </c>
      <c r="D136" s="31">
        <v>62998.946933957137</v>
      </c>
      <c r="E136" s="31">
        <v>48212.761849372182</v>
      </c>
      <c r="F136" s="72">
        <v>46089.102564102563</v>
      </c>
    </row>
    <row r="137" spans="1:15" ht="18" customHeight="1" x14ac:dyDescent="0.2">
      <c r="A137" s="209"/>
      <c r="B137" s="37" t="s">
        <v>111</v>
      </c>
      <c r="C137" s="31">
        <v>476.79098510742188</v>
      </c>
      <c r="D137" s="31">
        <v>548.72099109556211</v>
      </c>
      <c r="E137" s="31">
        <v>552.14422607421875</v>
      </c>
      <c r="F137" s="72">
        <v>550.06500244140625</v>
      </c>
    </row>
    <row r="138" spans="1:15" ht="18" customHeight="1" x14ac:dyDescent="0.2">
      <c r="A138" s="209"/>
      <c r="B138" s="37" t="s">
        <v>112</v>
      </c>
      <c r="C138" s="31">
        <f ca="1">249.567273195737*OFFSET($L$112,MATCH($N$1,$C$112:$C$113,0)-1,0)</f>
        <v>249.56727319573699</v>
      </c>
      <c r="D138" s="31">
        <f ca="1">285.555989523324*OFFSET($L$112,MATCH($N$1,$C$112:$C$113,0)-1,0)</f>
        <v>285.555989523324</v>
      </c>
      <c r="E138" s="31">
        <f ca="1">287.746510098868*OFFSET($L$112,MATCH($N$1,$C$112:$C$113,0)-1,0)</f>
        <v>287.74651009886799</v>
      </c>
      <c r="F138" s="72">
        <f ca="1">202.216139921607*OFFSET($L$112,MATCH($N$1,$C$112:$C$113,0)-1,0)</f>
        <v>202.21613992160701</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82.5673256939139*OFFSET($L$112,MATCH($N$1,$C$112:$C$113,0)-1,0)</f>
        <v>82.567325693913901</v>
      </c>
      <c r="D139" s="31">
        <f ca="1">494.438243094783*OFFSET($L$112,MATCH($N$1,$C$112:$C$113,0)-1,0)</f>
        <v>494.43824309478299</v>
      </c>
      <c r="E139" s="31">
        <f ca="1">854.849341416967*OFFSET($L$112,MATCH($N$1,$C$112:$C$113,0)-1,0)</f>
        <v>854.84934141696704</v>
      </c>
      <c r="F139" s="72">
        <f ca="1">167.106131910605*OFFSET($L$112,MATCH($N$1,$C$112:$C$113,0)-1,0)</f>
        <v>167.106131910605</v>
      </c>
      <c r="I139" s="48"/>
      <c r="K139" s="73" t="s">
        <v>114</v>
      </c>
      <c r="L139" s="74">
        <f t="shared" ref="L139:M141" ca="1" si="2">C140</f>
        <v>376.00343750000002</v>
      </c>
      <c r="M139" s="74">
        <f t="shared" ca="1" si="2"/>
        <v>157.53800279605301</v>
      </c>
      <c r="N139" s="74">
        <f ca="1">E140</f>
        <v>60.579644531249997</v>
      </c>
      <c r="O139" s="74"/>
    </row>
    <row r="140" spans="1:15" ht="18" customHeight="1" x14ac:dyDescent="0.2">
      <c r="A140" s="187" t="s">
        <v>50</v>
      </c>
      <c r="B140" s="35" t="s">
        <v>115</v>
      </c>
      <c r="C140" s="75">
        <f ca="1">376.0034375*OFFSET($L$112,MATCH($N$1,$C$112:$C$113,0)-1,0)</f>
        <v>376.00343750000002</v>
      </c>
      <c r="D140" s="75">
        <f ca="1">157.538002796053*OFFSET($L$112,MATCH($N$1,$C$112:$C$113,0)-1,0)</f>
        <v>157.53800279605301</v>
      </c>
      <c r="E140" s="75">
        <f ca="1">60.57964453125*OFFSET($L$112,MATCH($N$1,$C$112:$C$113,0)-1,0)</f>
        <v>60.579644531249997</v>
      </c>
      <c r="F140" s="76">
        <f ca="1">147.681453125*OFFSET($L$112,MATCH($N$1,$C$112:$C$113,0)-1,0)</f>
        <v>147.68145312499999</v>
      </c>
      <c r="I140" s="48"/>
      <c r="K140" s="73" t="s">
        <v>116</v>
      </c>
      <c r="L140" s="74">
        <f t="shared" ca="1" si="2"/>
        <v>283.48903124999998</v>
      </c>
      <c r="M140" s="74">
        <f t="shared" ca="1" si="2"/>
        <v>143.269452796053</v>
      </c>
      <c r="N140" s="74">
        <f ca="1">E141</f>
        <v>67.611515624999996</v>
      </c>
      <c r="O140" s="74"/>
    </row>
    <row r="141" spans="1:15" ht="18" customHeight="1" x14ac:dyDescent="0.2">
      <c r="A141" s="188"/>
      <c r="B141" s="37" t="s">
        <v>117</v>
      </c>
      <c r="C141" s="31">
        <f ca="1">283.48903125*OFFSET($L$112,MATCH($N$1,$C$112:$C$113,0)-1,0)</f>
        <v>283.48903124999998</v>
      </c>
      <c r="D141" s="31">
        <f ca="1">143.269452796053*OFFSET($L$112,MATCH($N$1,$C$112:$C$113,0)-1,0)</f>
        <v>143.269452796053</v>
      </c>
      <c r="E141" s="31">
        <f ca="1">67.611515625*OFFSET($L$112,MATCH($N$1,$C$112:$C$113,0)-1,0)</f>
        <v>67.611515624999996</v>
      </c>
      <c r="F141" s="72">
        <f ca="1">116.55296875*OFFSET($L$112,MATCH($N$1,$C$112:$C$113,0)-1,0)</f>
        <v>116.55296875000001</v>
      </c>
      <c r="I141" s="48"/>
      <c r="K141" s="73" t="s">
        <v>118</v>
      </c>
      <c r="L141" s="74">
        <f t="shared" ca="1" si="2"/>
        <v>92.514406249999993</v>
      </c>
      <c r="M141" s="74">
        <f t="shared" ca="1" si="2"/>
        <v>14.268549999999999</v>
      </c>
      <c r="N141" s="74">
        <f ca="1">E142</f>
        <v>-7.0318710937500004</v>
      </c>
      <c r="O141" s="74"/>
    </row>
    <row r="142" spans="1:15" ht="18" customHeight="1" x14ac:dyDescent="0.2">
      <c r="A142" s="189"/>
      <c r="B142" s="39" t="s">
        <v>119</v>
      </c>
      <c r="C142" s="40">
        <f ca="1">92.51440625*OFFSET($L$112,MATCH($N$1,$C$112:$C$113,0)-1,0)</f>
        <v>92.514406249999993</v>
      </c>
      <c r="D142" s="40">
        <f ca="1">14.26855*OFFSET($L$112,MATCH($N$1,$C$112:$C$113,0)-1,0)</f>
        <v>14.268549999999999</v>
      </c>
      <c r="E142" s="40">
        <f ca="1">-7.03187109375*OFFSET($L$112,MATCH($N$1,$C$112:$C$113,0)-1,0)</f>
        <v>-7.0318710937500004</v>
      </c>
      <c r="F142" s="65">
        <f ca="1">31.1284921875*OFFSET($L$112,MATCH($N$1,$C$112:$C$113,0)-1,0)</f>
        <v>31.128492187500001</v>
      </c>
      <c r="I142" s="48"/>
      <c r="K142" s="73" t="s">
        <v>120</v>
      </c>
      <c r="L142" s="77">
        <f ca="1">IFERROR(L140/L$139,"")</f>
        <v>0.75395329663708188</v>
      </c>
      <c r="M142" s="77">
        <f t="shared" ref="M142:N143" ca="1" si="3">IFERROR(M140/M$139,"")</f>
        <v>0.90942788567357991</v>
      </c>
      <c r="N142" s="77">
        <f t="shared" ca="1" si="3"/>
        <v>1.1160764667432574</v>
      </c>
      <c r="O142" s="77"/>
    </row>
    <row r="143" spans="1:15" ht="18" customHeight="1" x14ac:dyDescent="0.2">
      <c r="I143" s="48"/>
      <c r="K143" s="73" t="s">
        <v>121</v>
      </c>
      <c r="L143" s="77">
        <f ca="1">IFERROR(L141/L$139,"")</f>
        <v>0.24604670336291803</v>
      </c>
      <c r="M143" s="77">
        <f t="shared" ca="1" si="3"/>
        <v>9.0572114326420081E-2</v>
      </c>
      <c r="N143" s="77">
        <f t="shared" ca="1" si="3"/>
        <v>-0.11607646674325749</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11</v>
      </c>
      <c r="B161" s="53"/>
      <c r="C161" s="78" t="s">
        <v>45</v>
      </c>
      <c r="D161" s="78" t="s">
        <v>122</v>
      </c>
      <c r="E161" s="78" t="s">
        <v>47</v>
      </c>
      <c r="F161" s="78" t="s">
        <v>123</v>
      </c>
      <c r="G161" s="79">
        <v>11</v>
      </c>
      <c r="H161" s="78"/>
      <c r="I161" s="78" t="s">
        <v>45</v>
      </c>
      <c r="J161" s="78" t="s">
        <v>122</v>
      </c>
      <c r="K161" s="78" t="s">
        <v>47</v>
      </c>
      <c r="L161" s="53" t="s">
        <v>123</v>
      </c>
      <c r="R161" s="21"/>
      <c r="S161" s="21"/>
    </row>
    <row r="162" spans="1:19" s="48" customFormat="1" x14ac:dyDescent="0.2">
      <c r="A162" s="49">
        <v>1</v>
      </c>
      <c r="B162" s="53" t="s">
        <v>100</v>
      </c>
      <c r="C162" s="53">
        <v>4.9593553647966727E-2</v>
      </c>
      <c r="D162" s="53">
        <v>0.71664583376497626</v>
      </c>
      <c r="E162" s="53">
        <v>0.76070382314604101</v>
      </c>
      <c r="F162" s="49">
        <v>12153634</v>
      </c>
      <c r="G162" s="49">
        <v>1</v>
      </c>
      <c r="H162" s="53" t="s">
        <v>100</v>
      </c>
      <c r="I162" s="53">
        <v>7.0531464428710833E-2</v>
      </c>
      <c r="J162" s="53">
        <v>0.77749452826724363</v>
      </c>
      <c r="K162" s="53">
        <v>0.81335843071415104</v>
      </c>
      <c r="L162" s="49">
        <v>12153634</v>
      </c>
      <c r="R162" s="21"/>
      <c r="S162" s="21"/>
    </row>
    <row r="163" spans="1:19" s="48" customFormat="1" x14ac:dyDescent="0.2">
      <c r="A163" s="49">
        <v>2</v>
      </c>
      <c r="B163" s="53" t="s">
        <v>247</v>
      </c>
      <c r="C163" s="53">
        <v>0.68391152646819231</v>
      </c>
      <c r="D163" s="53">
        <v>7.5375670178500012E-2</v>
      </c>
      <c r="E163" s="53">
        <v>0</v>
      </c>
      <c r="F163" s="49">
        <v>553960</v>
      </c>
      <c r="G163" s="49">
        <v>2</v>
      </c>
      <c r="H163" s="53" t="s">
        <v>456</v>
      </c>
      <c r="I163" s="53">
        <v>1.2975605820800143E-2</v>
      </c>
      <c r="J163" s="53">
        <v>5.2608596855208571E-2</v>
      </c>
      <c r="K163" s="53">
        <v>1.7830730071901335E-2</v>
      </c>
      <c r="L163" s="49">
        <v>3050596</v>
      </c>
      <c r="N163" s="48" t="s">
        <v>124</v>
      </c>
      <c r="R163" s="21"/>
      <c r="S163" s="21"/>
    </row>
    <row r="164" spans="1:19" s="48" customFormat="1" x14ac:dyDescent="0.2">
      <c r="A164" s="49">
        <v>3</v>
      </c>
      <c r="B164" s="53" t="s">
        <v>195</v>
      </c>
      <c r="C164" s="53">
        <v>0</v>
      </c>
      <c r="D164" s="53">
        <v>5.9844337150126999E-2</v>
      </c>
      <c r="E164" s="53">
        <v>0</v>
      </c>
      <c r="F164" s="49">
        <v>11115023</v>
      </c>
      <c r="G164" s="49">
        <v>3</v>
      </c>
      <c r="H164" s="53" t="s">
        <v>144</v>
      </c>
      <c r="I164" s="53">
        <v>0</v>
      </c>
      <c r="J164" s="53">
        <v>3.2502361105733159E-2</v>
      </c>
      <c r="K164" s="53">
        <v>2.3530298585851102E-2</v>
      </c>
      <c r="L164" s="49">
        <v>3689192</v>
      </c>
      <c r="N164" s="48" t="s">
        <v>125</v>
      </c>
      <c r="R164" s="21"/>
      <c r="S164" s="21"/>
    </row>
    <row r="165" spans="1:19" s="48" customFormat="1" x14ac:dyDescent="0.2">
      <c r="A165" s="49">
        <v>4</v>
      </c>
      <c r="B165" s="53" t="s">
        <v>105</v>
      </c>
      <c r="C165" s="53">
        <v>0</v>
      </c>
      <c r="D165" s="53">
        <v>5.7547583289281487E-2</v>
      </c>
      <c r="E165" s="53">
        <v>0.15361643650858361</v>
      </c>
      <c r="F165" s="49">
        <v>1692097</v>
      </c>
      <c r="G165" s="49">
        <v>4</v>
      </c>
      <c r="H165" s="53" t="s">
        <v>247</v>
      </c>
      <c r="I165" s="53">
        <v>0.41192918734741868</v>
      </c>
      <c r="J165" s="53">
        <v>2.7391595355747873E-2</v>
      </c>
      <c r="K165" s="53">
        <v>0</v>
      </c>
      <c r="L165" s="49">
        <v>553960</v>
      </c>
      <c r="R165" s="21"/>
      <c r="S165" s="21"/>
    </row>
    <row r="166" spans="1:19" s="48" customFormat="1" x14ac:dyDescent="0.2">
      <c r="A166" s="49">
        <v>5</v>
      </c>
      <c r="B166" s="53" t="s">
        <v>456</v>
      </c>
      <c r="C166" s="53">
        <v>4.8098574870164548E-3</v>
      </c>
      <c r="D166" s="53">
        <v>2.869521217952652E-2</v>
      </c>
      <c r="E166" s="53">
        <v>0</v>
      </c>
      <c r="F166" s="49">
        <v>3050596</v>
      </c>
      <c r="G166" s="49">
        <v>5</v>
      </c>
      <c r="H166" s="53" t="s">
        <v>103</v>
      </c>
      <c r="I166" s="53">
        <v>0</v>
      </c>
      <c r="J166" s="53">
        <v>2.4430378778125886E-2</v>
      </c>
      <c r="K166" s="53">
        <v>0</v>
      </c>
      <c r="L166" s="49">
        <v>2480382</v>
      </c>
      <c r="R166" s="21"/>
      <c r="S166" s="21"/>
    </row>
    <row r="167" spans="1:19" s="48" customFormat="1" x14ac:dyDescent="0.2">
      <c r="A167" s="49">
        <v>6</v>
      </c>
      <c r="B167" s="53" t="s">
        <v>246</v>
      </c>
      <c r="C167" s="53">
        <v>0</v>
      </c>
      <c r="D167" s="53">
        <v>0</v>
      </c>
      <c r="E167" s="53">
        <v>2.2546583774860168E-2</v>
      </c>
      <c r="F167" s="49">
        <v>7434864</v>
      </c>
      <c r="G167" s="49">
        <v>6</v>
      </c>
      <c r="H167" s="53" t="s">
        <v>105</v>
      </c>
      <c r="I167" s="53">
        <v>0</v>
      </c>
      <c r="J167" s="53">
        <v>0</v>
      </c>
      <c r="K167" s="53">
        <v>6.2246121320741601E-2</v>
      </c>
      <c r="L167" s="49">
        <v>1692097</v>
      </c>
      <c r="R167" s="21"/>
      <c r="S167" s="21"/>
    </row>
    <row r="168" spans="1:19" s="48" customFormat="1" x14ac:dyDescent="0.2">
      <c r="A168" s="49">
        <v>7</v>
      </c>
      <c r="B168" s="53" t="s">
        <v>194</v>
      </c>
      <c r="C168" s="53">
        <v>0</v>
      </c>
      <c r="D168" s="53">
        <v>0</v>
      </c>
      <c r="E168" s="53">
        <v>2.1081971044342399E-2</v>
      </c>
      <c r="F168" s="49">
        <v>8497745</v>
      </c>
      <c r="G168" s="49">
        <v>7</v>
      </c>
      <c r="H168" s="53" t="s">
        <v>246</v>
      </c>
      <c r="I168" s="53">
        <v>0</v>
      </c>
      <c r="J168" s="53">
        <v>0</v>
      </c>
      <c r="K168" s="53">
        <v>3.083588404509462E-2</v>
      </c>
      <c r="L168" s="49">
        <v>7434864</v>
      </c>
      <c r="R168" s="21"/>
      <c r="S168" s="21"/>
    </row>
    <row r="169" spans="1:19" s="48" customFormat="1" x14ac:dyDescent="0.2">
      <c r="A169" s="49">
        <v>8</v>
      </c>
      <c r="B169" s="53" t="s">
        <v>103</v>
      </c>
      <c r="C169" s="53">
        <v>1.0231066596511154E-3</v>
      </c>
      <c r="D169" s="53">
        <v>0</v>
      </c>
      <c r="E169" s="53">
        <v>1.0543545108639897E-2</v>
      </c>
      <c r="F169" s="49">
        <v>2480382</v>
      </c>
      <c r="G169" s="49">
        <v>8</v>
      </c>
      <c r="H169" s="53" t="s">
        <v>162</v>
      </c>
      <c r="I169" s="53">
        <v>8.3702371145433409E-3</v>
      </c>
      <c r="J169" s="53">
        <v>0</v>
      </c>
      <c r="K169" s="53">
        <v>0</v>
      </c>
      <c r="L169" s="49">
        <v>14393110</v>
      </c>
      <c r="R169" s="21"/>
      <c r="S169" s="21"/>
    </row>
    <row r="170" spans="1:19" s="48" customFormat="1" x14ac:dyDescent="0.2">
      <c r="A170" s="49">
        <v>9</v>
      </c>
      <c r="B170" s="53" t="s">
        <v>162</v>
      </c>
      <c r="C170" s="53">
        <v>1.7804836104986814E-3</v>
      </c>
      <c r="D170" s="53">
        <v>0</v>
      </c>
      <c r="E170" s="53">
        <v>0</v>
      </c>
      <c r="F170" s="49">
        <v>14393110</v>
      </c>
      <c r="G170" s="49">
        <v>9</v>
      </c>
      <c r="H170" s="53" t="s">
        <v>457</v>
      </c>
      <c r="I170" s="53">
        <v>2.718373404122329E-3</v>
      </c>
      <c r="J170" s="53">
        <v>0</v>
      </c>
      <c r="K170" s="53">
        <v>0</v>
      </c>
      <c r="L170" s="49">
        <v>2887140</v>
      </c>
      <c r="R170" s="21"/>
      <c r="S170" s="21"/>
    </row>
    <row r="171" spans="1:19" s="48" customFormat="1" x14ac:dyDescent="0.2">
      <c r="A171" s="49">
        <v>10</v>
      </c>
      <c r="B171" s="53" t="s">
        <v>107</v>
      </c>
      <c r="C171" s="53">
        <v>0.25888147212667478</v>
      </c>
      <c r="D171" s="53">
        <v>6.189136343758872E-2</v>
      </c>
      <c r="E171" s="53">
        <v>3.1507640417532956E-2</v>
      </c>
      <c r="F171" s="49">
        <v>5920853</v>
      </c>
      <c r="G171" s="49">
        <v>10</v>
      </c>
      <c r="H171" s="53" t="s">
        <v>107</v>
      </c>
      <c r="I171" s="53">
        <v>0.49347513188440473</v>
      </c>
      <c r="J171" s="53">
        <v>8.557253963794087E-2</v>
      </c>
      <c r="K171" s="53">
        <v>5.2198535262260259E-2</v>
      </c>
      <c r="L171" s="49">
        <v>5920853</v>
      </c>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1F4D5B28-42CE-4B88-B1DB-7E7919C44006}">
      <formula1>$C$112:$C$113</formula1>
    </dataValidation>
  </dataValidations>
  <hyperlinks>
    <hyperlink ref="O1:P1" location="Home_page" display="Back to home page" xr:uid="{D15F91BE-56CD-4F8B-BC0A-A2EA80C1CD7C}"/>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F745EA37-CECC-4B8F-AEC8-BA44AFBAA8C6}">
          <x14:colorSeries rgb="FF323232"/>
          <x14:colorNegative rgb="FFD00000"/>
          <x14:colorAxis rgb="FF000000"/>
          <x14:colorMarkers rgb="FFD00000"/>
          <x14:colorFirst rgb="FFD00000"/>
          <x14:colorLast rgb="FFD00000"/>
          <x14:colorHigh rgb="FFD00000"/>
          <x14:colorLow rgb="FFD00000"/>
          <x14:sparklines>
            <x14:sparkline>
              <xm:f>'UK scallop dredge under 15m'!D3:N3</xm:f>
              <xm:sqref>C3</xm:sqref>
            </x14:sparkline>
            <x14:sparkline>
              <xm:f>'UK scallop dredge under 15m'!D4:N4</xm:f>
              <xm:sqref>C4</xm:sqref>
            </x14:sparkline>
            <x14:sparkline>
              <xm:f>'UK scallop dredge under 15m'!D5:N5</xm:f>
              <xm:sqref>C5</xm:sqref>
            </x14:sparkline>
            <x14:sparkline>
              <xm:f>'UK scallop dredge under 15m'!D6:N6</xm:f>
              <xm:sqref>C6</xm:sqref>
            </x14:sparkline>
            <x14:sparkline>
              <xm:f>'UK scallop dredge under 15m'!D7:N7</xm:f>
              <xm:sqref>C7</xm:sqref>
            </x14:sparkline>
            <x14:sparkline>
              <xm:f>'UK scallop dredge under 15m'!D8:N8</xm:f>
              <xm:sqref>C8</xm:sqref>
            </x14:sparkline>
            <x14:sparkline>
              <xm:f>'UK scallop dredge under 15m'!D9:N9</xm:f>
              <xm:sqref>C9</xm:sqref>
            </x14:sparkline>
            <x14:sparkline>
              <xm:f>'UK scallop dredge under 15m'!D10:N10</xm:f>
              <xm:sqref>C10</xm:sqref>
            </x14:sparkline>
            <x14:sparkline>
              <xm:f>'UK scallop dredge under 15m'!D11:N11</xm:f>
              <xm:sqref>C11</xm:sqref>
            </x14:sparkline>
            <x14:sparkline>
              <xm:f>'UK scallop dredge under 15m'!D12:N12</xm:f>
              <xm:sqref>C12</xm:sqref>
            </x14:sparkline>
            <x14:sparkline>
              <xm:f>'UK scallop dredge under 15m'!D13:N13</xm:f>
              <xm:sqref>C13</xm:sqref>
            </x14:sparkline>
            <x14:sparkline>
              <xm:f>'UK scallop dredge under 15m'!D14:N14</xm:f>
              <xm:sqref>C14</xm:sqref>
            </x14:sparkline>
            <x14:sparkline>
              <xm:f>'UK scallop dredge under 15m'!D15:N15</xm:f>
              <xm:sqref>C15</xm:sqref>
            </x14:sparkline>
            <x14:sparkline>
              <xm:f>'UK scallop dredge under 15m'!D16:N16</xm:f>
              <xm:sqref>C16</xm:sqref>
            </x14:sparkline>
            <x14:sparkline>
              <xm:f>'UK scallop dredge under 15m'!D17:N17</xm:f>
              <xm:sqref>C17</xm:sqref>
            </x14:sparkline>
            <x14:sparkline>
              <xm:f>'UK scallop dredge under 15m'!D18:N18</xm:f>
              <xm:sqref>C18</xm:sqref>
            </x14:sparkline>
            <x14:sparkline>
              <xm:f>'UK scallop dredge under 15m'!D19:N19</xm:f>
              <xm:sqref>C19</xm:sqref>
            </x14:sparkline>
            <x14:sparkline>
              <xm:f>'UK scallop dredge under 15m'!D20:N20</xm:f>
              <xm:sqref>C20</xm:sqref>
            </x14:sparkline>
            <x14:sparkline>
              <xm:f>'UK scallop dredge under 15m'!D21:N21</xm:f>
              <xm:sqref>C21</xm:sqref>
            </x14:sparkline>
            <x14:sparkline>
              <xm:f>'UK scallop dredge under 15m'!D22:N22</xm:f>
              <xm:sqref>C22</xm:sqref>
            </x14:sparkline>
            <x14:sparkline>
              <xm:f>'UK scallop dredge under 15m'!D23:N23</xm:f>
              <xm:sqref>C23</xm:sqref>
            </x14:sparkline>
            <x14:sparkline>
              <xm:f>'UK scallop dredge under 15m'!D24:N24</xm:f>
              <xm:sqref>C24</xm:sqref>
            </x14:sparkline>
            <x14:sparkline>
              <xm:f>'UK scallop dredge under 15m'!D25:N25</xm:f>
              <xm:sqref>C25</xm:sqref>
            </x14:sparkline>
            <x14:sparkline>
              <xm:f>'UK scallop dredge under 15m'!D26:N26</xm:f>
              <xm:sqref>C26</xm:sqref>
            </x14:sparkline>
            <x14:sparkline>
              <xm:f>'UK scallop dredge under 15m'!D27:N27</xm:f>
              <xm:sqref>C27</xm:sqref>
            </x14:sparkline>
            <x14:sparkline>
              <xm:f>'UK scallop dredge under 15m'!D28:N28</xm:f>
              <xm:sqref>C28</xm:sqref>
            </x14:sparkline>
            <x14:sparkline>
              <xm:f>'UK scallop dredge under 15m'!D29:N29</xm:f>
              <xm:sqref>C29</xm:sqref>
            </x14:sparkline>
            <x14:sparkline>
              <xm:f>'UK scallop dredge under 15m'!D30:N30</xm:f>
              <xm:sqref>C30</xm:sqref>
            </x14:sparkline>
            <x14:sparkline>
              <xm:f>'UK scallop dredge under 15m'!D31:N31</xm:f>
              <xm:sqref>C31</xm:sqref>
            </x14:sparkline>
            <x14:sparkline>
              <xm:f>'UK scallop dredge under 15m'!D32:N32</xm:f>
              <xm:sqref>C32</xm:sqref>
            </x14:sparkline>
            <x14:sparkline>
              <xm:f>'UK scallop dredge under 15m'!D33:N33</xm:f>
              <xm:sqref>C33</xm:sqref>
            </x14:sparkline>
            <x14:sparkline>
              <xm:f>'UK scallop dredge under 15m'!D34:N34</xm:f>
              <xm:sqref>C34</xm:sqref>
            </x14:sparkline>
            <x14:sparkline>
              <xm:f>'UK scallop dredge under 15m'!D35:N35</xm:f>
              <xm:sqref>C35</xm:sqref>
            </x14:sparkline>
            <x14:sparkline>
              <xm:f>'UK scallop dredge under 15m'!D36:N36</xm:f>
              <xm:sqref>C36</xm:sqref>
            </x14:sparkline>
            <x14:sparkline>
              <xm:f>'UK scallop dredge under 15m'!D37:N37</xm:f>
              <xm:sqref>C37</xm:sqref>
            </x14:sparkline>
            <x14:sparkline>
              <xm:f>'UK scallop dredge under 15m'!D38:N38</xm:f>
              <xm:sqref>C38</xm:sqref>
            </x14:sparkline>
            <x14:sparkline>
              <xm:f>'UK scallop dredge under 15m'!D39:N39</xm:f>
              <xm:sqref>C39</xm:sqref>
            </x14:sparkline>
            <x14:sparkline>
              <xm:f>'UK scallop dredge under 15m'!D40:N40</xm:f>
              <xm:sqref>C40</xm:sqref>
            </x14:sparkline>
            <x14:sparkline>
              <xm:f>'UK scallop dredge under 15m'!D41:N41</xm:f>
              <xm:sqref>C41</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F5F44-1553-473F-8C5A-83229C5900E5}">
  <sheetPr codeName="Feuil33">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458</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215</v>
      </c>
      <c r="E3" s="28">
        <v>223</v>
      </c>
      <c r="F3" s="28">
        <v>203</v>
      </c>
      <c r="G3" s="28">
        <v>203</v>
      </c>
      <c r="H3" s="28">
        <v>193</v>
      </c>
      <c r="I3" s="28">
        <v>189</v>
      </c>
      <c r="J3" s="28">
        <v>175</v>
      </c>
      <c r="K3" s="28">
        <v>158</v>
      </c>
      <c r="L3" s="28">
        <v>166</v>
      </c>
      <c r="M3" s="28">
        <v>172</v>
      </c>
      <c r="N3" s="28">
        <v>170</v>
      </c>
      <c r="O3" s="29">
        <f t="shared" ref="O3:O41" si="0">IF(N3=0,"",IFERROR(IF(AND(N3&gt;0,D3&lt;0),"na",IF(AND(N3&lt;0,D3&lt;0),-1,1)*(N3-D3)/D3),""))</f>
        <v>-0.20930232558139536</v>
      </c>
      <c r="P3" s="29">
        <f t="shared" ref="P3:P41" si="1">IF(N3=0,"",IFERROR(IF(AND(N3&gt;0,J3&lt;0),"na",IF(AND(N3&lt;0,J3&lt;0),-1,1)*(N3-J3)/J3),""))</f>
        <v>-2.8571428571428571E-2</v>
      </c>
    </row>
    <row r="4" spans="1:17" ht="18" customHeight="1" x14ac:dyDescent="0.2">
      <c r="A4" s="193"/>
      <c r="B4" s="30" t="s">
        <v>55</v>
      </c>
      <c r="C4" s="31"/>
      <c r="D4" s="31">
        <v>24655</v>
      </c>
      <c r="E4" s="31">
        <v>25034</v>
      </c>
      <c r="F4" s="31">
        <v>23065</v>
      </c>
      <c r="G4" s="31">
        <v>22749</v>
      </c>
      <c r="H4" s="31">
        <v>21499</v>
      </c>
      <c r="I4" s="31">
        <v>21094</v>
      </c>
      <c r="J4" s="31">
        <v>19509</v>
      </c>
      <c r="K4" s="31">
        <v>18556</v>
      </c>
      <c r="L4" s="31">
        <v>19362</v>
      </c>
      <c r="M4" s="31">
        <v>20477</v>
      </c>
      <c r="N4" s="31">
        <v>20016</v>
      </c>
      <c r="O4" s="29">
        <f t="shared" si="0"/>
        <v>-0.18815656053538837</v>
      </c>
      <c r="P4" s="29">
        <f t="shared" si="1"/>
        <v>2.5988005535906505E-2</v>
      </c>
    </row>
    <row r="5" spans="1:17" ht="18" customHeight="1" x14ac:dyDescent="0.2">
      <c r="A5" s="193"/>
      <c r="B5" s="30" t="s">
        <v>56</v>
      </c>
      <c r="C5" s="31"/>
      <c r="D5" s="31">
        <v>2248</v>
      </c>
      <c r="E5" s="31">
        <v>2342</v>
      </c>
      <c r="F5" s="31">
        <v>2143</v>
      </c>
      <c r="G5" s="31">
        <v>2147</v>
      </c>
      <c r="H5" s="31">
        <v>2021</v>
      </c>
      <c r="I5" s="31">
        <v>2010</v>
      </c>
      <c r="J5" s="31">
        <v>1874</v>
      </c>
      <c r="K5" s="31">
        <v>1780</v>
      </c>
      <c r="L5" s="31">
        <v>1809</v>
      </c>
      <c r="M5" s="31">
        <v>1896</v>
      </c>
      <c r="N5" s="31">
        <v>1876</v>
      </c>
      <c r="O5" s="29">
        <f t="shared" si="0"/>
        <v>-0.16548042704626334</v>
      </c>
      <c r="P5" s="29">
        <f t="shared" si="1"/>
        <v>1.0672358591248667E-3</v>
      </c>
      <c r="Q5" s="32"/>
    </row>
    <row r="6" spans="1:17" ht="18" customHeight="1" x14ac:dyDescent="0.2">
      <c r="A6" s="193"/>
      <c r="B6" s="30" t="s">
        <v>57</v>
      </c>
      <c r="C6" s="31"/>
      <c r="D6" s="31">
        <v>19569.525390625</v>
      </c>
      <c r="E6" s="31">
        <v>20089.697265625</v>
      </c>
      <c r="F6" s="31">
        <v>18400.05859375</v>
      </c>
      <c r="G6" s="31">
        <v>18278.7109375</v>
      </c>
      <c r="H6" s="31">
        <v>17228.181640625</v>
      </c>
      <c r="I6" s="31">
        <v>16996.673828125</v>
      </c>
      <c r="J6" s="31">
        <v>15723.5361328125</v>
      </c>
      <c r="K6" s="31">
        <v>14746.8623046875</v>
      </c>
      <c r="L6" s="31">
        <v>15370.1923828125</v>
      </c>
      <c r="M6" s="31">
        <v>15990.1728515625</v>
      </c>
      <c r="N6" s="31">
        <v>15028.845703125</v>
      </c>
      <c r="O6" s="29">
        <f t="shared" si="0"/>
        <v>-0.23202809454312384</v>
      </c>
      <c r="P6" s="29">
        <f t="shared" si="1"/>
        <v>-4.4181564745972915E-2</v>
      </c>
    </row>
    <row r="7" spans="1:17" ht="18" customHeight="1" x14ac:dyDescent="0.2">
      <c r="A7" s="193"/>
      <c r="B7" s="30" t="s">
        <v>58</v>
      </c>
      <c r="C7" s="31"/>
      <c r="D7" s="31">
        <v>5857.64404296875</v>
      </c>
      <c r="E7" s="31">
        <v>6492.078125</v>
      </c>
      <c r="F7" s="31">
        <v>5927.626953125</v>
      </c>
      <c r="G7" s="31">
        <v>5624.15234375</v>
      </c>
      <c r="H7" s="31">
        <v>4918.31494140625</v>
      </c>
      <c r="I7" s="31">
        <v>5523.4765625</v>
      </c>
      <c r="J7" s="31">
        <v>5481.93408203125</v>
      </c>
      <c r="K7" s="31">
        <v>4417.80908203125</v>
      </c>
      <c r="L7" s="31">
        <v>5298.431640625</v>
      </c>
      <c r="M7" s="31">
        <v>3867.735595703125</v>
      </c>
      <c r="N7" s="31">
        <v>4346.71044921875</v>
      </c>
      <c r="O7" s="29">
        <f t="shared" si="0"/>
        <v>-0.25794220042504223</v>
      </c>
      <c r="P7" s="29">
        <f t="shared" si="1"/>
        <v>-0.20708450992388797</v>
      </c>
    </row>
    <row r="8" spans="1:17" ht="18" customHeight="1" x14ac:dyDescent="0.2">
      <c r="A8" s="193"/>
      <c r="B8" s="30" t="s">
        <v>59</v>
      </c>
      <c r="C8" s="33"/>
      <c r="D8" s="33">
        <f ca="1">17.134828*OFFSET(D$112,MATCH($N$1,$C$112:$C$113,0)-1,0)</f>
        <v>17.134827999999999</v>
      </c>
      <c r="E8" s="33">
        <f ca="1">17.835116*OFFSET(E$112,MATCH($N$1,$C$112:$C$113,0)-1,0)</f>
        <v>17.835115999999999</v>
      </c>
      <c r="F8" s="33">
        <f ca="1">14.517303*OFFSET(F$112,MATCH($N$1,$C$112:$C$113,0)-1,0)</f>
        <v>14.517303</v>
      </c>
      <c r="G8" s="33">
        <f ca="1">15.274691*OFFSET(G$112,MATCH($N$1,$C$112:$C$113,0)-1,0)</f>
        <v>15.274691000000001</v>
      </c>
      <c r="H8" s="33">
        <f ca="1">12.656583*OFFSET(H$112,MATCH($N$1,$C$112:$C$113,0)-1,0)</f>
        <v>12.656582999999999</v>
      </c>
      <c r="I8" s="33">
        <f ca="1">15.330238*OFFSET(I$112,MATCH($N$1,$C$112:$C$113,0)-1,0)</f>
        <v>15.330238</v>
      </c>
      <c r="J8" s="33">
        <f ca="1">15.291731*OFFSET(J$112,MATCH($N$1,$C$112:$C$113,0)-1,0)</f>
        <v>15.291731</v>
      </c>
      <c r="K8" s="33">
        <f ca="1">12.796973*OFFSET(K$112,MATCH($N$1,$C$112:$C$113,0)-1,0)</f>
        <v>12.796972999999999</v>
      </c>
      <c r="L8" s="33">
        <f ca="1">14.570999*OFFSET(L$112,MATCH($N$1,$C$112:$C$113,0)-1,0)</f>
        <v>14.570999</v>
      </c>
      <c r="M8" s="33">
        <f ca="1">8.873342*OFFSET(M$112,MATCH($N$1,$C$112:$C$113,0)-1,0)</f>
        <v>8.8733419999999992</v>
      </c>
      <c r="N8" s="33">
        <v>10.543217</v>
      </c>
      <c r="O8" s="29">
        <f t="shared" ca="1" si="0"/>
        <v>-0.3846908180228012</v>
      </c>
      <c r="P8" s="29">
        <f t="shared" ca="1" si="1"/>
        <v>-0.3105282194671094</v>
      </c>
    </row>
    <row r="9" spans="1:17" ht="18" customHeight="1" x14ac:dyDescent="0.2">
      <c r="A9" s="193"/>
      <c r="B9" s="30" t="s">
        <v>60</v>
      </c>
      <c r="C9" s="31"/>
      <c r="D9" s="31">
        <v>22131</v>
      </c>
      <c r="E9" s="31">
        <v>22366</v>
      </c>
      <c r="F9" s="31">
        <v>19575</v>
      </c>
      <c r="G9" s="31">
        <v>21805</v>
      </c>
      <c r="H9" s="31">
        <v>20386</v>
      </c>
      <c r="I9" s="31">
        <v>20838</v>
      </c>
      <c r="J9" s="31">
        <v>16193</v>
      </c>
      <c r="K9" s="31">
        <v>14347</v>
      </c>
      <c r="L9" s="31">
        <v>15584</v>
      </c>
      <c r="M9" s="31">
        <v>11882</v>
      </c>
      <c r="N9" s="31">
        <v>12261</v>
      </c>
      <c r="O9" s="29">
        <f t="shared" si="0"/>
        <v>-0.44598075098278434</v>
      </c>
      <c r="P9" s="29">
        <f t="shared" si="1"/>
        <v>-0.24282097202494904</v>
      </c>
    </row>
    <row r="10" spans="1:17" ht="18" customHeight="1" x14ac:dyDescent="0.2">
      <c r="A10" s="193"/>
      <c r="B10" s="30" t="s">
        <v>61</v>
      </c>
      <c r="C10" s="31"/>
      <c r="D10" s="31">
        <v>347.3563232421875</v>
      </c>
      <c r="E10" s="31">
        <v>262.34036254882813</v>
      </c>
      <c r="F10" s="31">
        <v>232.28178405761719</v>
      </c>
      <c r="G10" s="31">
        <v>265.30355834960938</v>
      </c>
      <c r="H10" s="31">
        <v>284.03964233398438</v>
      </c>
      <c r="I10" s="31">
        <v>330.41232299804688</v>
      </c>
      <c r="J10" s="31">
        <v>205.10612487792969</v>
      </c>
      <c r="K10" s="31">
        <v>198.73600769042969</v>
      </c>
      <c r="L10" s="31">
        <v>97.225021362304688</v>
      </c>
      <c r="M10" s="31">
        <v>129.80148315429688</v>
      </c>
      <c r="N10" s="31">
        <v>136.15788269042969</v>
      </c>
      <c r="O10" s="34">
        <f t="shared" si="0"/>
        <v>-0.60801668609471027</v>
      </c>
      <c r="P10" s="34">
        <f t="shared" si="1"/>
        <v>-0.3361588652144592</v>
      </c>
    </row>
    <row r="11" spans="1:17" ht="18" customHeight="1" x14ac:dyDescent="0.2">
      <c r="A11" s="194" t="s">
        <v>27</v>
      </c>
      <c r="B11" s="35" t="s">
        <v>62</v>
      </c>
      <c r="C11" s="36"/>
      <c r="D11" s="36">
        <v>9.668278694152832</v>
      </c>
      <c r="E11" s="36">
        <v>9.6296415328979492</v>
      </c>
      <c r="F11" s="36">
        <v>9.6284236907958984</v>
      </c>
      <c r="G11" s="36">
        <v>9.6504430770874023</v>
      </c>
      <c r="H11" s="36">
        <v>9.6765279769897461</v>
      </c>
      <c r="I11" s="36">
        <v>9.6828041076660156</v>
      </c>
      <c r="J11" s="36">
        <v>9.6898288726806641</v>
      </c>
      <c r="K11" s="36">
        <v>9.7668352127075195</v>
      </c>
      <c r="L11" s="36">
        <v>9.7676506042480469</v>
      </c>
      <c r="M11" s="36">
        <v>9.7523832321166992</v>
      </c>
      <c r="N11" s="36">
        <v>9.7309408187866211</v>
      </c>
      <c r="O11" s="29">
        <f t="shared" si="0"/>
        <v>6.4812079394945222E-3</v>
      </c>
      <c r="P11" s="29">
        <f t="shared" si="1"/>
        <v>4.2427938249629303E-3</v>
      </c>
    </row>
    <row r="12" spans="1:17" ht="18" customHeight="1" x14ac:dyDescent="0.2">
      <c r="A12" s="195"/>
      <c r="B12" s="37" t="s">
        <v>55</v>
      </c>
      <c r="C12" s="31"/>
      <c r="D12" s="31">
        <v>114.67441558837891</v>
      </c>
      <c r="E12" s="31">
        <v>112.26008605957031</v>
      </c>
      <c r="F12" s="31">
        <v>113.62068939208984</v>
      </c>
      <c r="G12" s="31">
        <v>112.06404113769531</v>
      </c>
      <c r="H12" s="31">
        <v>111.39378356933594</v>
      </c>
      <c r="I12" s="31">
        <v>111.60846710205078</v>
      </c>
      <c r="J12" s="31">
        <v>111.48000335693359</v>
      </c>
      <c r="K12" s="31">
        <v>117.44303894042969</v>
      </c>
      <c r="L12" s="31">
        <v>116.63855743408203</v>
      </c>
      <c r="M12" s="31">
        <v>119.05232238769531</v>
      </c>
      <c r="N12" s="31">
        <v>117.74117279052734</v>
      </c>
      <c r="O12" s="29">
        <f t="shared" si="0"/>
        <v>2.6743168355498663E-2</v>
      </c>
      <c r="P12" s="29">
        <f t="shared" si="1"/>
        <v>5.6164058531169132E-2</v>
      </c>
    </row>
    <row r="13" spans="1:17" ht="18" customHeight="1" x14ac:dyDescent="0.2">
      <c r="A13" s="195"/>
      <c r="B13" s="37" t="s">
        <v>56</v>
      </c>
      <c r="C13" s="31"/>
      <c r="D13" s="31">
        <v>10.455814361572266</v>
      </c>
      <c r="E13" s="31">
        <v>10.502242088317871</v>
      </c>
      <c r="F13" s="31">
        <v>10.556650161743164</v>
      </c>
      <c r="G13" s="31">
        <v>10.57635498046875</v>
      </c>
      <c r="H13" s="31">
        <v>10.471502304077148</v>
      </c>
      <c r="I13" s="31">
        <v>10.634921073913574</v>
      </c>
      <c r="J13" s="31">
        <v>10.708571434020996</v>
      </c>
      <c r="K13" s="31">
        <v>11.265822410583496</v>
      </c>
      <c r="L13" s="31">
        <v>10.897590637207031</v>
      </c>
      <c r="M13" s="31">
        <v>11.023255348205566</v>
      </c>
      <c r="N13" s="31">
        <v>11.035294532775879</v>
      </c>
      <c r="O13" s="29">
        <f t="shared" si="0"/>
        <v>5.5421811363957255E-2</v>
      </c>
      <c r="P13" s="29">
        <f t="shared" si="1"/>
        <v>3.0510428096588837E-2</v>
      </c>
    </row>
    <row r="14" spans="1:17" ht="18" customHeight="1" x14ac:dyDescent="0.2">
      <c r="A14" s="195"/>
      <c r="B14" s="37" t="s">
        <v>57</v>
      </c>
      <c r="C14" s="31"/>
      <c r="D14" s="31">
        <v>91.021049499511719</v>
      </c>
      <c r="E14" s="31">
        <v>90.088333129882813</v>
      </c>
      <c r="F14" s="31">
        <v>90.640678405761719</v>
      </c>
      <c r="G14" s="31">
        <v>90.042915344238281</v>
      </c>
      <c r="H14" s="31">
        <v>89.265190124511719</v>
      </c>
      <c r="I14" s="31">
        <v>89.929496765136719</v>
      </c>
      <c r="J14" s="31">
        <v>89.848777770996094</v>
      </c>
      <c r="K14" s="31">
        <v>93.334571838378906</v>
      </c>
      <c r="L14" s="31">
        <v>93.152679443359375</v>
      </c>
      <c r="M14" s="31">
        <v>94.059837341308594</v>
      </c>
      <c r="N14" s="31">
        <v>92.770652770996094</v>
      </c>
      <c r="O14" s="29">
        <f t="shared" si="0"/>
        <v>1.9221963283270655E-2</v>
      </c>
      <c r="P14" s="29">
        <f t="shared" si="1"/>
        <v>3.2519919274218607E-2</v>
      </c>
    </row>
    <row r="15" spans="1:17" ht="18" customHeight="1" x14ac:dyDescent="0.2">
      <c r="A15" s="195"/>
      <c r="B15" s="37" t="s">
        <v>58</v>
      </c>
      <c r="C15" s="33"/>
      <c r="D15" s="33">
        <v>27.244853973388672</v>
      </c>
      <c r="E15" s="33">
        <v>29.112457275390625</v>
      </c>
      <c r="F15" s="33">
        <v>29.20013427734375</v>
      </c>
      <c r="G15" s="33">
        <v>27.705184936523438</v>
      </c>
      <c r="H15" s="33">
        <v>25.483497619628906</v>
      </c>
      <c r="I15" s="33">
        <v>29.22474479675293</v>
      </c>
      <c r="J15" s="33">
        <v>31.325338363647461</v>
      </c>
      <c r="K15" s="33">
        <v>27.960817337036133</v>
      </c>
      <c r="L15" s="33">
        <v>31.918262481689453</v>
      </c>
      <c r="M15" s="33">
        <v>22.486833572387695</v>
      </c>
      <c r="N15" s="33">
        <v>25.568883895874023</v>
      </c>
      <c r="O15" s="29">
        <f t="shared" si="0"/>
        <v>-6.15151059040965E-2</v>
      </c>
      <c r="P15" s="29">
        <f t="shared" si="1"/>
        <v>-0.18376352079419861</v>
      </c>
    </row>
    <row r="16" spans="1:17" ht="18" customHeight="1" x14ac:dyDescent="0.2">
      <c r="A16" s="195"/>
      <c r="B16" s="37" t="s">
        <v>63</v>
      </c>
      <c r="C16" s="33"/>
      <c r="D16" s="33">
        <f ca="1">79.696875*OFFSET(D$112,MATCH($N$1,$C$112:$C$113,0)-1,0)</f>
        <v>79.696875000000006</v>
      </c>
      <c r="E16" s="33">
        <f ca="1">79.97809375*OFFSET(E$112,MATCH($N$1,$C$112:$C$113,0)-1,0)</f>
        <v>79.978093749999999</v>
      </c>
      <c r="F16" s="33">
        <f ca="1">71.5138046875*OFFSET(F$112,MATCH($N$1,$C$112:$C$113,0)-1,0)</f>
        <v>71.513804687499999</v>
      </c>
      <c r="G16" s="33">
        <f ca="1">75.24478125*OFFSET(G$112,MATCH($N$1,$C$112:$C$113,0)-1,0)</f>
        <v>75.244781250000003</v>
      </c>
      <c r="H16" s="33">
        <f ca="1">65.57815625*OFFSET(H$112,MATCH($N$1,$C$112:$C$113,0)-1,0)</f>
        <v>65.578156250000006</v>
      </c>
      <c r="I16" s="33">
        <f ca="1">81.1123671875*OFFSET(I$112,MATCH($N$1,$C$112:$C$113,0)-1,0)</f>
        <v>81.112367187499999</v>
      </c>
      <c r="J16" s="33">
        <f ca="1">87.3813203125*OFFSET(J$112,MATCH($N$1,$C$112:$C$113,0)-1,0)</f>
        <v>87.381320312499994</v>
      </c>
      <c r="K16" s="33">
        <f ca="1">80.9935*OFFSET(K$112,MATCH($N$1,$C$112:$C$113,0)-1,0)</f>
        <v>80.993499999999997</v>
      </c>
      <c r="L16" s="33">
        <f ca="1">87.7771015625*OFFSET(L$112,MATCH($N$1,$C$112:$C$113,0)-1,0)</f>
        <v>87.777101562499993</v>
      </c>
      <c r="M16" s="33">
        <f ca="1">51.5891953125*OFFSET(M$112,MATCH($N$1,$C$112:$C$113,0)-1,0)</f>
        <v>51.589195312500003</v>
      </c>
      <c r="N16" s="33">
        <v>62.018921875000004</v>
      </c>
      <c r="O16" s="29">
        <f t="shared" ca="1" si="0"/>
        <v>-0.22181488452338941</v>
      </c>
      <c r="P16" s="29">
        <f t="shared" ca="1" si="1"/>
        <v>-0.29024965915823858</v>
      </c>
    </row>
    <row r="17" spans="1:16" ht="18" customHeight="1" x14ac:dyDescent="0.2">
      <c r="A17" s="195"/>
      <c r="B17" s="37" t="s">
        <v>60</v>
      </c>
      <c r="C17" s="31"/>
      <c r="D17" s="31">
        <v>102.93488311767578</v>
      </c>
      <c r="E17" s="31">
        <v>100.29596710205078</v>
      </c>
      <c r="F17" s="31">
        <v>96.428573608398438</v>
      </c>
      <c r="G17" s="31">
        <v>107.41379547119141</v>
      </c>
      <c r="H17" s="31">
        <v>105.62694549560547</v>
      </c>
      <c r="I17" s="31">
        <v>110.25396728515625</v>
      </c>
      <c r="J17" s="31">
        <v>92.531425476074219</v>
      </c>
      <c r="K17" s="31">
        <v>90.803794860839844</v>
      </c>
      <c r="L17" s="31">
        <v>93.8795166015625</v>
      </c>
      <c r="M17" s="31">
        <v>69.081398010253906</v>
      </c>
      <c r="N17" s="31">
        <v>72.123527526855469</v>
      </c>
      <c r="O17" s="29">
        <f t="shared" si="0"/>
        <v>-0.29932861103651892</v>
      </c>
      <c r="P17" s="29">
        <f t="shared" si="1"/>
        <v>-0.22055099491032487</v>
      </c>
    </row>
    <row r="18" spans="1:16" ht="18" customHeight="1" x14ac:dyDescent="0.2">
      <c r="A18" s="195"/>
      <c r="B18" s="37" t="s">
        <v>64</v>
      </c>
      <c r="C18" s="31"/>
      <c r="D18" s="31">
        <v>19.595348358154297</v>
      </c>
      <c r="E18" s="31">
        <v>20.762331008911133</v>
      </c>
      <c r="F18" s="31">
        <v>21.605911254882813</v>
      </c>
      <c r="G18" s="31">
        <v>23.674877166748047</v>
      </c>
      <c r="H18" s="31">
        <v>24.891191482543945</v>
      </c>
      <c r="I18" s="31">
        <v>25.068782806396484</v>
      </c>
      <c r="J18" s="31">
        <v>26.394285202026367</v>
      </c>
      <c r="K18" s="31">
        <v>25.987340927124023</v>
      </c>
      <c r="L18" s="31">
        <v>26.527273178100586</v>
      </c>
      <c r="M18" s="31">
        <v>26.870588302612305</v>
      </c>
      <c r="N18" s="31">
        <v>28.759260177612305</v>
      </c>
      <c r="O18" s="29">
        <f t="shared" si="0"/>
        <v>0.4676575099337078</v>
      </c>
      <c r="P18" s="29">
        <f t="shared" si="1"/>
        <v>8.9601781502473554E-2</v>
      </c>
    </row>
    <row r="19" spans="1:16" ht="18" customHeight="1" x14ac:dyDescent="0.2">
      <c r="A19" s="195"/>
      <c r="B19" s="37" t="s">
        <v>65</v>
      </c>
      <c r="C19" s="38"/>
      <c r="D19" s="38">
        <v>0.26468047499656677</v>
      </c>
      <c r="E19" s="38">
        <v>0.29026547074317932</v>
      </c>
      <c r="F19" s="38">
        <v>0.30281621217727661</v>
      </c>
      <c r="G19" s="38">
        <v>0.2579294741153717</v>
      </c>
      <c r="H19" s="38">
        <v>0.24125944077968597</v>
      </c>
      <c r="I19" s="38">
        <v>0.26506751775741577</v>
      </c>
      <c r="J19" s="38">
        <v>0.3385373055934906</v>
      </c>
      <c r="K19" s="38">
        <v>0.30792564153671265</v>
      </c>
      <c r="L19" s="38">
        <v>0.33999177813529968</v>
      </c>
      <c r="M19" s="38">
        <v>0.32551214098930359</v>
      </c>
      <c r="N19" s="38">
        <v>0.35451516509056091</v>
      </c>
      <c r="O19" s="29">
        <f t="shared" si="0"/>
        <v>0.33940807343329504</v>
      </c>
      <c r="P19" s="29">
        <f t="shared" si="1"/>
        <v>4.7196746807739512E-2</v>
      </c>
    </row>
    <row r="20" spans="1:16" ht="18" customHeight="1" x14ac:dyDescent="0.2">
      <c r="A20" s="196"/>
      <c r="B20" s="39" t="s">
        <v>28</v>
      </c>
      <c r="C20" s="40"/>
      <c r="D20" s="40">
        <f ca="1">2925*OFFSET(D$112,MATCH($N$1,$C$112:$C$113,0)-1,0)</f>
        <v>2925</v>
      </c>
      <c r="E20" s="40">
        <f ca="1">2747*OFFSET(E$112,MATCH($N$1,$C$112:$C$113,0)-1,0)</f>
        <v>2747</v>
      </c>
      <c r="F20" s="40">
        <f ca="1">2449*OFFSET(F$112,MATCH($N$1,$C$112:$C$113,0)-1,0)</f>
        <v>2449</v>
      </c>
      <c r="G20" s="40">
        <f ca="1">2716*OFFSET(G$112,MATCH($N$1,$C$112:$C$113,0)-1,0)</f>
        <v>2716</v>
      </c>
      <c r="H20" s="40">
        <f ca="1">2573*OFFSET(H$112,MATCH($N$1,$C$112:$C$113,0)-1,0)</f>
        <v>2573</v>
      </c>
      <c r="I20" s="40">
        <f ca="1">2775*OFFSET(I$112,MATCH($N$1,$C$112:$C$113,0)-1,0)</f>
        <v>2775</v>
      </c>
      <c r="J20" s="40">
        <f ca="1">2789*OFFSET(J$112,MATCH($N$1,$C$112:$C$113,0)-1,0)</f>
        <v>2789</v>
      </c>
      <c r="K20" s="40">
        <f ca="1">2897*OFFSET(K$112,MATCH($N$1,$C$112:$C$113,0)-1,0)</f>
        <v>2897</v>
      </c>
      <c r="L20" s="40">
        <f ca="1">2750*OFFSET(L$112,MATCH($N$1,$C$112:$C$113,0)-1,0)</f>
        <v>2750</v>
      </c>
      <c r="M20" s="40">
        <f ca="1">2294*OFFSET(M$112,MATCH($N$1,$C$112:$C$113,0)-1,0)</f>
        <v>2294</v>
      </c>
      <c r="N20" s="40">
        <v>2426</v>
      </c>
      <c r="O20" s="34">
        <f t="shared" ca="1" si="0"/>
        <v>-0.1705982905982906</v>
      </c>
      <c r="P20" s="34">
        <f t="shared" ca="1" si="1"/>
        <v>-0.13015417712441735</v>
      </c>
    </row>
    <row r="21" spans="1:16" ht="18" customHeight="1" x14ac:dyDescent="0.2">
      <c r="A21" s="197" t="s">
        <v>29</v>
      </c>
      <c r="B21" s="35" t="s">
        <v>66</v>
      </c>
      <c r="C21" s="41"/>
      <c r="D21" s="41">
        <v>2.2624377269129621</v>
      </c>
      <c r="E21" s="41">
        <v>2.5515763696730422</v>
      </c>
      <c r="F21" s="41">
        <v>2.6401861793854016</v>
      </c>
      <c r="G21" s="41">
        <v>2.3070814747113699</v>
      </c>
      <c r="H21" s="41">
        <v>2.179466537029489</v>
      </c>
      <c r="I21" s="41">
        <v>2.3540929823775802</v>
      </c>
      <c r="J21" s="41">
        <v>2.9226850497898358</v>
      </c>
      <c r="K21" s="41">
        <v>2.5550928151024732</v>
      </c>
      <c r="L21" s="41">
        <v>2.83985974444191</v>
      </c>
      <c r="M21" s="41">
        <v>2.6325882517044672</v>
      </c>
      <c r="N21" s="41">
        <v>2.9029954734484256</v>
      </c>
      <c r="O21" s="29">
        <f t="shared" si="0"/>
        <v>0.28312723878128043</v>
      </c>
      <c r="P21" s="29">
        <f t="shared" si="1"/>
        <v>-6.7368108455018293E-3</v>
      </c>
    </row>
    <row r="22" spans="1:16" ht="18" customHeight="1" x14ac:dyDescent="0.2">
      <c r="A22" s="197"/>
      <c r="B22" s="37" t="s">
        <v>67</v>
      </c>
      <c r="C22" s="38"/>
      <c r="D22" s="38">
        <f ca="1">6.61810178513649*OFFSET(D$112,MATCH($N$1,$C$112:$C$113,0)-1,0)</f>
        <v>6.6181017851364903</v>
      </c>
      <c r="E22" s="38">
        <f ca="1">7.00972137712676*OFFSET(E$112,MATCH($N$1,$C$112:$C$113,0)-1,0)</f>
        <v>7.0097213771267599</v>
      </c>
      <c r="F22" s="38">
        <f ca="1">6.46605789473034*OFFSET(F$112,MATCH($N$1,$C$112:$C$113,0)-1,0)</f>
        <v>6.4660578947303398</v>
      </c>
      <c r="G22" s="38">
        <f ca="1">6.26582501753074*OFFSET(G$112,MATCH($N$1,$C$112:$C$113,0)-1,0)</f>
        <v>6.2658250175307399</v>
      </c>
      <c r="H22" s="38">
        <f ca="1">5.60854711705181*OFFSET(H$112,MATCH($N$1,$C$112:$C$113,0)-1,0)</f>
        <v>5.6085471170518097</v>
      </c>
      <c r="I22" s="38">
        <f ca="1">6.53371161007855*OFFSET(I$112,MATCH($N$1,$C$112:$C$113,0)-1,0)</f>
        <v>6.5337116100785497</v>
      </c>
      <c r="J22" s="38">
        <f ca="1">8.15276360445046*OFFSET(J$112,MATCH($N$1,$C$112:$C$113,0)-1,0)</f>
        <v>8.1527636044504597</v>
      </c>
      <c r="K22" s="38">
        <f ca="1">7.40128256715469*OFFSET(K$112,MATCH($N$1,$C$112:$C$113,0)-1,0)</f>
        <v>7.4012825671546896</v>
      </c>
      <c r="L22" s="38">
        <f ca="1">7.80978154290617*OFFSET(L$112,MATCH($N$1,$C$112:$C$113,0)-1,0)</f>
        <v>7.8097815429061699</v>
      </c>
      <c r="M22" s="38">
        <f ca="1">6.03967246243793*OFFSET(M$112,MATCH($N$1,$C$112:$C$113,0)-1,0)</f>
        <v>6.0396724624379301</v>
      </c>
      <c r="N22" s="38">
        <v>7.0413964960093223</v>
      </c>
      <c r="O22" s="29">
        <f t="shared" ca="1" si="0"/>
        <v>6.3960139117760953E-2</v>
      </c>
      <c r="P22" s="29">
        <f t="shared" ca="1" si="1"/>
        <v>-0.13631783801930186</v>
      </c>
    </row>
    <row r="23" spans="1:16" ht="18" customHeight="1" x14ac:dyDescent="0.2">
      <c r="A23" s="197"/>
      <c r="B23" s="37" t="s">
        <v>11</v>
      </c>
      <c r="C23" s="38"/>
      <c r="D23" s="38">
        <f ca="1">5.45595364467731*OFFSET(D$112,MATCH($N$1,$C$112:$C$113,0)-1,0)</f>
        <v>5.4559536446773098</v>
      </c>
      <c r="E23" s="38">
        <f ca="1">5.92618281006078*OFFSET(E$112,MATCH($N$1,$C$112:$C$113,0)-1,0)</f>
        <v>5.9261828100607801</v>
      </c>
      <c r="F23" s="38">
        <f ca="1">5.37127420926254*OFFSET(F$112,MATCH($N$1,$C$112:$C$113,0)-1,0)</f>
        <v>5.3712742092625403</v>
      </c>
      <c r="G23" s="38">
        <f ca="1">5.34673247529533*OFFSET(G$112,MATCH($N$1,$C$112:$C$113,0)-1,0)</f>
        <v>5.3467324752953296</v>
      </c>
      <c r="H23" s="38">
        <f ca="1">4.57958973967608*OFFSET(H$112,MATCH($N$1,$C$112:$C$113,0)-1,0)</f>
        <v>4.5795897396760799</v>
      </c>
      <c r="I23" s="38">
        <f ca="1">4.74393060437277*OFFSET(I$112,MATCH($N$1,$C$112:$C$113,0)-1,0)</f>
        <v>4.7439306043727703</v>
      </c>
      <c r="J23" s="38">
        <f ca="1">5.77000037447956*OFFSET(J$112,MATCH($N$1,$C$112:$C$113,0)-1,0)</f>
        <v>5.7700003744795598</v>
      </c>
      <c r="K23" s="38">
        <f ca="1">6.0647269759331*OFFSET(K$112,MATCH($N$1,$C$112:$C$113,0)-1,0)</f>
        <v>6.0647269759331</v>
      </c>
      <c r="L23" s="38">
        <f ca="1">6.16634594289314*OFFSET(L$112,MATCH($N$1,$C$112:$C$113,0)-1,0)</f>
        <v>6.1663459428931402</v>
      </c>
      <c r="M23" s="38">
        <f ca="1">4.68510363082307*OFFSET(M$112,MATCH($N$1,$C$112:$C$113,0)-1,0)</f>
        <v>4.68510363082307</v>
      </c>
      <c r="N23" s="38">
        <v>5.1727405147605463</v>
      </c>
      <c r="O23" s="29">
        <f t="shared" ca="1" si="0"/>
        <v>-5.1909005897265839E-2</v>
      </c>
      <c r="P23" s="29">
        <f t="shared" ca="1" si="1"/>
        <v>-0.10351123413451857</v>
      </c>
    </row>
    <row r="24" spans="1:16" ht="18" customHeight="1" x14ac:dyDescent="0.2">
      <c r="A24" s="197"/>
      <c r="B24" s="37" t="s">
        <v>12</v>
      </c>
      <c r="C24" s="38"/>
      <c r="D24" s="38">
        <f ca="1">1.3363906556259*OFFSET(D$112,MATCH($N$1,$C$112:$C$113,0)-1,0)</f>
        <v>1.3363906556259</v>
      </c>
      <c r="E24" s="38">
        <f ca="1">1.41758946240688*OFFSET(E$112,MATCH($N$1,$C$112:$C$113,0)-1,0)</f>
        <v>1.4175894624068801</v>
      </c>
      <c r="F24" s="38">
        <f ca="1">1.58219754436831*OFFSET(F$112,MATCH($N$1,$C$112:$C$113,0)-1,0)</f>
        <v>1.5821975443683101</v>
      </c>
      <c r="G24" s="38">
        <f ca="1">1.43128879970341*OFFSET(G$112,MATCH($N$1,$C$112:$C$113,0)-1,0)</f>
        <v>1.4312887997034101</v>
      </c>
      <c r="H24" s="38">
        <f ca="1">1.10673272552943*OFFSET(H$112,MATCH($N$1,$C$112:$C$113,0)-1,0)</f>
        <v>1.1067327255294299</v>
      </c>
      <c r="I24" s="38">
        <f ca="1">1.9668905585466*OFFSET(I$112,MATCH($N$1,$C$112:$C$113,0)-1,0)</f>
        <v>1.9668905585466001</v>
      </c>
      <c r="J24" s="38">
        <f ca="1">2.58756261371058*OFFSET(J$112,MATCH($N$1,$C$112:$C$113,0)-1,0)</f>
        <v>2.5875626137105798</v>
      </c>
      <c r="K24" s="38">
        <f ca="1">1.48513462707327*OFFSET(K$112,MATCH($N$1,$C$112:$C$113,0)-1,0)</f>
        <v>1.4851346270732699</v>
      </c>
      <c r="L24" s="38">
        <f ca="1">1.88545488905542*OFFSET(L$112,MATCH($N$1,$C$112:$C$113,0)-1,0)</f>
        <v>1.8854548890554199</v>
      </c>
      <c r="M24" s="38">
        <f ca="1">2.2216711586352*OFFSET(M$112,MATCH($N$1,$C$112:$C$113,0)-1,0)</f>
        <v>2.2216711586351998</v>
      </c>
      <c r="N24" s="38">
        <v>2.0649030479053168</v>
      </c>
      <c r="O24" s="29">
        <f t="shared" ca="1" si="0"/>
        <v>0.54513430576047928</v>
      </c>
      <c r="P24" s="29">
        <f t="shared" ca="1" si="1"/>
        <v>-0.20198914725227313</v>
      </c>
    </row>
    <row r="25" spans="1:16" ht="18" customHeight="1" x14ac:dyDescent="0.2">
      <c r="A25" s="197"/>
      <c r="B25" s="37" t="s">
        <v>68</v>
      </c>
      <c r="C25" s="33"/>
      <c r="D25" s="33">
        <f ca="1">49.33*OFFSET(D$112,MATCH($N$1,$C$112:$C$113,0)-1,0)</f>
        <v>49.33</v>
      </c>
      <c r="E25" s="33">
        <f ca="1">68*OFFSET(E$112,MATCH($N$1,$C$112:$C$113,0)-1,0)</f>
        <v>68</v>
      </c>
      <c r="F25" s="33">
        <f ca="1">62.49*OFFSET(F$112,MATCH($N$1,$C$112:$C$113,0)-1,0)</f>
        <v>62.49</v>
      </c>
      <c r="G25" s="33">
        <f ca="1">57.54*OFFSET(G$112,MATCH($N$1,$C$112:$C$113,0)-1,0)</f>
        <v>57.54</v>
      </c>
      <c r="H25" s="33">
        <f ca="1">44.57*OFFSET(H$112,MATCH($N$1,$C$112:$C$113,0)-1,0)</f>
        <v>44.57</v>
      </c>
      <c r="I25" s="33">
        <f ca="1">46.39*OFFSET(I$112,MATCH($N$1,$C$112:$C$113,0)-1,0)</f>
        <v>46.39</v>
      </c>
      <c r="J25" s="33">
        <f ca="1">74.57*OFFSET(J$112,MATCH($N$1,$C$112:$C$113,0)-1,0)</f>
        <v>74.569999999999993</v>
      </c>
      <c r="K25" s="33">
        <f ca="1">64.4*OFFSET(K$112,MATCH($N$1,$C$112:$C$113,0)-1,0)</f>
        <v>64.400000000000006</v>
      </c>
      <c r="L25" s="33">
        <f ca="1">149.91*OFFSET(L$112,MATCH($N$1,$C$112:$C$113,0)-1,0)</f>
        <v>149.91</v>
      </c>
      <c r="M25" s="33">
        <f ca="1">68.38*OFFSET(M$112,MATCH($N$1,$C$112:$C$113,0)-1,0)</f>
        <v>68.38</v>
      </c>
      <c r="N25" s="33">
        <v>77.41</v>
      </c>
      <c r="O25" s="29">
        <f t="shared" ca="1" si="0"/>
        <v>0.56922765051692681</v>
      </c>
      <c r="P25" s="29">
        <f t="shared" ca="1" si="1"/>
        <v>3.8085020785838856E-2</v>
      </c>
    </row>
    <row r="26" spans="1:16" ht="18" customHeight="1" x14ac:dyDescent="0.2">
      <c r="A26" s="198"/>
      <c r="B26" s="37" t="s">
        <v>69</v>
      </c>
      <c r="C26" s="33"/>
      <c r="D26" s="33">
        <f ca="1">9.97*OFFSET(D$112,MATCH($N$1,$C$112:$C$113,0)-1,0)</f>
        <v>9.9700000000000006</v>
      </c>
      <c r="E26" s="33">
        <f ca="1">13.77*OFFSET(E$112,MATCH($N$1,$C$112:$C$113,0)-1,0)</f>
        <v>13.77</v>
      </c>
      <c r="F26" s="33">
        <f ca="1">15.29*OFFSET(F$112,MATCH($N$1,$C$112:$C$113,0)-1,0)</f>
        <v>15.29</v>
      </c>
      <c r="G26" s="33">
        <f ca="1">13.16*OFFSET(G$112,MATCH($N$1,$C$112:$C$113,0)-1,0)</f>
        <v>13.16</v>
      </c>
      <c r="H26" s="33">
        <f ca="1">8.77*OFFSET(H$112,MATCH($N$1,$C$112:$C$113,0)-1,0)</f>
        <v>8.77</v>
      </c>
      <c r="I26" s="33">
        <f ca="1">13.96*OFFSET(I$112,MATCH($N$1,$C$112:$C$113,0)-1,0)</f>
        <v>13.96</v>
      </c>
      <c r="J26" s="33">
        <f ca="1">23.63*OFFSET(J$112,MATCH($N$1,$C$112:$C$113,0)-1,0)</f>
        <v>23.63</v>
      </c>
      <c r="K26" s="33">
        <f ca="1">12.96*OFFSET(K$112,MATCH($N$1,$C$112:$C$113,0)-1,0)</f>
        <v>12.96</v>
      </c>
      <c r="L26" s="33">
        <f ca="1">36.2*OFFSET(L$112,MATCH($N$1,$C$112:$C$113,0)-1,0)</f>
        <v>36.200000000000003</v>
      </c>
      <c r="M26" s="33">
        <f ca="1">25.18*OFFSET(M$112,MATCH($N$1,$C$112:$C$113,0)-1,0)</f>
        <v>25.18</v>
      </c>
      <c r="N26" s="33">
        <v>22.72</v>
      </c>
      <c r="O26" s="34">
        <f t="shared" ca="1" si="0"/>
        <v>1.2788365095285854</v>
      </c>
      <c r="P26" s="34">
        <f t="shared" ca="1" si="1"/>
        <v>-3.8510368176047402E-2</v>
      </c>
    </row>
    <row r="27" spans="1:16" ht="18" customHeight="1" x14ac:dyDescent="0.2">
      <c r="A27" s="187" t="s">
        <v>30</v>
      </c>
      <c r="B27" s="35" t="s">
        <v>63</v>
      </c>
      <c r="C27" s="36"/>
      <c r="D27" s="36">
        <f ca="1">79.7*OFFSET(D$112,MATCH($N$1,$C$112:$C$113,0)-1,0)</f>
        <v>79.7</v>
      </c>
      <c r="E27" s="36">
        <f ca="1">80*OFFSET(E$112,MATCH($N$1,$C$112:$C$113,0)-1,0)</f>
        <v>80</v>
      </c>
      <c r="F27" s="36">
        <f ca="1">71.5*OFFSET(F$112,MATCH($N$1,$C$112:$C$113,0)-1,0)</f>
        <v>71.5</v>
      </c>
      <c r="G27" s="36">
        <f ca="1">75.2*OFFSET(G$112,MATCH($N$1,$C$112:$C$113,0)-1,0)</f>
        <v>75.2</v>
      </c>
      <c r="H27" s="36">
        <f ca="1">65.6*OFFSET(H$112,MATCH($N$1,$C$112:$C$113,0)-1,0)</f>
        <v>65.599999999999994</v>
      </c>
      <c r="I27" s="36">
        <f ca="1">81.1*OFFSET(I$112,MATCH($N$1,$C$112:$C$113,0)-1,0)</f>
        <v>81.099999999999994</v>
      </c>
      <c r="J27" s="36">
        <f ca="1">87.4*OFFSET(J$112,MATCH($N$1,$C$112:$C$113,0)-1,0)</f>
        <v>87.4</v>
      </c>
      <c r="K27" s="36">
        <f ca="1">81*OFFSET(K$112,MATCH($N$1,$C$112:$C$113,0)-1,0)</f>
        <v>81</v>
      </c>
      <c r="L27" s="36">
        <f ca="1">87.8*OFFSET(L$112,MATCH($N$1,$C$112:$C$113,0)-1,0)</f>
        <v>87.8</v>
      </c>
      <c r="M27" s="36">
        <f ca="1">51.6*OFFSET(M$112,MATCH($N$1,$C$112:$C$113,0)-1,0)</f>
        <v>51.6</v>
      </c>
      <c r="N27" s="36">
        <v>62</v>
      </c>
      <c r="O27" s="29">
        <f t="shared" ca="1" si="0"/>
        <v>-0.22208281053952325</v>
      </c>
      <c r="P27" s="29">
        <f t="shared" ca="1" si="1"/>
        <v>-0.29061784897025178</v>
      </c>
    </row>
    <row r="28" spans="1:16" ht="18" customHeight="1" x14ac:dyDescent="0.2">
      <c r="A28" s="199"/>
      <c r="B28" s="37" t="s">
        <v>70</v>
      </c>
      <c r="C28" s="33"/>
      <c r="D28" s="33">
        <f ca="1">2.1*OFFSET(D$112,MATCH($N$1,$C$112:$C$113,0)-1,0)</f>
        <v>2.1</v>
      </c>
      <c r="E28" s="33">
        <f ca="1">3.8*OFFSET(E$112,MATCH($N$1,$C$112:$C$113,0)-1,0)</f>
        <v>3.8</v>
      </c>
      <c r="F28" s="33">
        <f ca="1">5.4*OFFSET(F$112,MATCH($N$1,$C$112:$C$113,0)-1,0)</f>
        <v>5.4</v>
      </c>
      <c r="G28" s="33">
        <f ca="1">6.2*OFFSET(G$112,MATCH($N$1,$C$112:$C$113,0)-1,0)</f>
        <v>6.2</v>
      </c>
      <c r="H28" s="33">
        <f ca="1">0.9*OFFSET(H$112,MATCH($N$1,$C$112:$C$113,0)-1,0)</f>
        <v>0.9</v>
      </c>
      <c r="I28" s="33">
        <f ca="1">2.2*OFFSET(I$112,MATCH($N$1,$C$112:$C$113,0)-1,0)</f>
        <v>2.2000000000000002</v>
      </c>
      <c r="J28" s="33">
        <f ca="1">2.2*OFFSET(J$112,MATCH($N$1,$C$112:$C$113,0)-1,0)</f>
        <v>2.2000000000000002</v>
      </c>
      <c r="K28" s="33">
        <f ca="1">1.6*OFFSET(K$112,MATCH($N$1,$C$112:$C$113,0)-1,0)</f>
        <v>1.6</v>
      </c>
      <c r="L28" s="33">
        <f ca="1">2.7*OFFSET(L$112,MATCH($N$1,$C$112:$C$113,0)-1,0)</f>
        <v>2.7</v>
      </c>
      <c r="M28" s="33">
        <f ca="1">7.4*OFFSET(M$112,MATCH($N$1,$C$112:$C$113,0)-1,0)</f>
        <v>7.4</v>
      </c>
      <c r="N28" s="33">
        <v>1.7</v>
      </c>
      <c r="O28" s="29">
        <f t="shared" ca="1" si="0"/>
        <v>-0.19047619047619052</v>
      </c>
      <c r="P28" s="29">
        <f t="shared" ca="1" si="1"/>
        <v>-0.22727272727272735</v>
      </c>
    </row>
    <row r="29" spans="1:16" ht="18" customHeight="1" x14ac:dyDescent="0.2">
      <c r="A29" s="199"/>
      <c r="B29" s="42" t="s">
        <v>71</v>
      </c>
      <c r="C29" s="43"/>
      <c r="D29" s="43">
        <f ca="1">81.8*OFFSET(D$112,MATCH($N$1,$C$112:$C$113,0)-1,0)</f>
        <v>81.8</v>
      </c>
      <c r="E29" s="43">
        <f ca="1">83.8*OFFSET(E$112,MATCH($N$1,$C$112:$C$113,0)-1,0)</f>
        <v>83.8</v>
      </c>
      <c r="F29" s="43">
        <f ca="1">76.9*OFFSET(F$112,MATCH($N$1,$C$112:$C$113,0)-1,0)</f>
        <v>76.900000000000006</v>
      </c>
      <c r="G29" s="43">
        <f ca="1">81.4*OFFSET(G$112,MATCH($N$1,$C$112:$C$113,0)-1,0)</f>
        <v>81.400000000000006</v>
      </c>
      <c r="H29" s="43">
        <f ca="1">66.5*OFFSET(H$112,MATCH($N$1,$C$112:$C$113,0)-1,0)</f>
        <v>66.5</v>
      </c>
      <c r="I29" s="43">
        <f ca="1">83.3*OFFSET(I$112,MATCH($N$1,$C$112:$C$113,0)-1,0)</f>
        <v>83.3</v>
      </c>
      <c r="J29" s="43">
        <f ca="1">89.6*OFFSET(J$112,MATCH($N$1,$C$112:$C$113,0)-1,0)</f>
        <v>89.6</v>
      </c>
      <c r="K29" s="43">
        <f ca="1">82.6*OFFSET(K$112,MATCH($N$1,$C$112:$C$113,0)-1,0)</f>
        <v>82.6</v>
      </c>
      <c r="L29" s="43">
        <f ca="1">90.5*OFFSET(L$112,MATCH($N$1,$C$112:$C$113,0)-1,0)</f>
        <v>90.5</v>
      </c>
      <c r="M29" s="43">
        <f ca="1">59*OFFSET(M$112,MATCH($N$1,$C$112:$C$113,0)-1,0)</f>
        <v>59</v>
      </c>
      <c r="N29" s="43">
        <v>63.7</v>
      </c>
      <c r="O29" s="29">
        <f t="shared" ca="1" si="0"/>
        <v>-0.22127139364303172</v>
      </c>
      <c r="P29" s="29">
        <f t="shared" ca="1" si="1"/>
        <v>-0.28906249999999994</v>
      </c>
    </row>
    <row r="30" spans="1:16" ht="18" customHeight="1" x14ac:dyDescent="0.2">
      <c r="A30" s="199"/>
      <c r="B30" s="37" t="s">
        <v>72</v>
      </c>
      <c r="C30" s="33"/>
      <c r="D30" s="33">
        <f ca="1">13.5*OFFSET(D$112,MATCH($N$1,$C$112:$C$113,0)-1,0)</f>
        <v>13.5</v>
      </c>
      <c r="E30" s="33">
        <f ca="1">13.3*OFFSET(E$112,MATCH($N$1,$C$112:$C$113,0)-1,0)</f>
        <v>13.3</v>
      </c>
      <c r="F30" s="33">
        <f ca="1">12.2*OFFSET(F$112,MATCH($N$1,$C$112:$C$113,0)-1,0)</f>
        <v>12.2</v>
      </c>
      <c r="G30" s="33">
        <f ca="1">12.1*OFFSET(G$112,MATCH($N$1,$C$112:$C$113,0)-1,0)</f>
        <v>12.1</v>
      </c>
      <c r="H30" s="33">
        <f ca="1">8.3*OFFSET(H$112,MATCH($N$1,$C$112:$C$113,0)-1,0)</f>
        <v>8.3000000000000007</v>
      </c>
      <c r="I30" s="33">
        <f ca="1">8.2*OFFSET(I$112,MATCH($N$1,$C$112:$C$113,0)-1,0)</f>
        <v>8.1999999999999993</v>
      </c>
      <c r="J30" s="33">
        <f ca="1">8.3*OFFSET(J$112,MATCH($N$1,$C$112:$C$113,0)-1,0)</f>
        <v>8.3000000000000007</v>
      </c>
      <c r="K30" s="33">
        <f ca="1">9.8*OFFSET(K$112,MATCH($N$1,$C$112:$C$113,0)-1,0)</f>
        <v>9.8000000000000007</v>
      </c>
      <c r="L30" s="33">
        <f ca="1">9.8*OFFSET(L$112,MATCH($N$1,$C$112:$C$113,0)-1,0)</f>
        <v>9.8000000000000007</v>
      </c>
      <c r="M30" s="33">
        <f ca="1">5.1*OFFSET(M$112,MATCH($N$1,$C$112:$C$113,0)-1,0)</f>
        <v>5.0999999999999996</v>
      </c>
      <c r="N30" s="33">
        <v>6.6000000000000005</v>
      </c>
      <c r="O30" s="29">
        <f t="shared" ca="1" si="0"/>
        <v>-0.51111111111111107</v>
      </c>
      <c r="P30" s="29">
        <f t="shared" ca="1" si="1"/>
        <v>-0.20481927710843373</v>
      </c>
    </row>
    <row r="31" spans="1:16" ht="18" customHeight="1" x14ac:dyDescent="0.2">
      <c r="A31" s="199"/>
      <c r="B31" s="37" t="s">
        <v>73</v>
      </c>
      <c r="C31" s="33"/>
      <c r="D31" s="33">
        <f ca="1">23.4*OFFSET(D$112,MATCH($N$1,$C$112:$C$113,0)-1,0)</f>
        <v>23.4</v>
      </c>
      <c r="E31" s="33">
        <f ca="1">23.8*OFFSET(E$112,MATCH($N$1,$C$112:$C$113,0)-1,0)</f>
        <v>23.8</v>
      </c>
      <c r="F31" s="33">
        <f ca="1">18.6*OFFSET(F$112,MATCH($N$1,$C$112:$C$113,0)-1,0)</f>
        <v>18.600000000000001</v>
      </c>
      <c r="G31" s="33">
        <f ca="1">19.7*OFFSET(G$112,MATCH($N$1,$C$112:$C$113,0)-1,0)</f>
        <v>19.7</v>
      </c>
      <c r="H31" s="33">
        <f ca="1">16.7*OFFSET(H$112,MATCH($N$1,$C$112:$C$113,0)-1,0)</f>
        <v>16.7</v>
      </c>
      <c r="I31" s="33">
        <f ca="1">16.8*OFFSET(I$112,MATCH($N$1,$C$112:$C$113,0)-1,0)</f>
        <v>16.8</v>
      </c>
      <c r="J31" s="33">
        <f ca="1">21.5*OFFSET(J$112,MATCH($N$1,$C$112:$C$113,0)-1,0)</f>
        <v>21.5</v>
      </c>
      <c r="K31" s="33">
        <f ca="1">21.8*OFFSET(K$112,MATCH($N$1,$C$112:$C$113,0)-1,0)</f>
        <v>21.8</v>
      </c>
      <c r="L31" s="33">
        <f ca="1">26.3*OFFSET(L$112,MATCH($N$1,$C$112:$C$113,0)-1,0)</f>
        <v>26.3</v>
      </c>
      <c r="M31" s="33">
        <f ca="1">15.8*OFFSET(M$112,MATCH($N$1,$C$112:$C$113,0)-1,0)</f>
        <v>15.8</v>
      </c>
      <c r="N31" s="33">
        <v>18.7</v>
      </c>
      <c r="O31" s="29">
        <f t="shared" ca="1" si="0"/>
        <v>-0.20085470085470084</v>
      </c>
      <c r="P31" s="29">
        <f t="shared" ca="1" si="1"/>
        <v>-0.13023255813953491</v>
      </c>
    </row>
    <row r="32" spans="1:16" ht="18" customHeight="1" x14ac:dyDescent="0.2">
      <c r="A32" s="199"/>
      <c r="B32" s="37" t="s">
        <v>74</v>
      </c>
      <c r="C32" s="33"/>
      <c r="D32" s="33">
        <f ca="1">10.8*OFFSET(D$112,MATCH($N$1,$C$112:$C$113,0)-1,0)</f>
        <v>10.8</v>
      </c>
      <c r="E32" s="33">
        <f ca="1">10.2*OFFSET(E$112,MATCH($N$1,$C$112:$C$113,0)-1,0)</f>
        <v>10.199999999999999</v>
      </c>
      <c r="F32" s="33">
        <f ca="1">11.7*OFFSET(F$112,MATCH($N$1,$C$112:$C$113,0)-1,0)</f>
        <v>11.7</v>
      </c>
      <c r="G32" s="33">
        <f ca="1">12.1*OFFSET(G$112,MATCH($N$1,$C$112:$C$113,0)-1,0)</f>
        <v>12.1</v>
      </c>
      <c r="H32" s="33">
        <f ca="1">9.5*OFFSET(H$112,MATCH($N$1,$C$112:$C$113,0)-1,0)</f>
        <v>9.5</v>
      </c>
      <c r="I32" s="33">
        <f ca="1">14.7*OFFSET(I$112,MATCH($N$1,$C$112:$C$113,0)-1,0)</f>
        <v>14.7</v>
      </c>
      <c r="J32" s="33">
        <f ca="1">13.1*OFFSET(J$112,MATCH($N$1,$C$112:$C$113,0)-1,0)</f>
        <v>13.1</v>
      </c>
      <c r="K32" s="33">
        <f ca="1">12.8*OFFSET(K$112,MATCH($N$1,$C$112:$C$113,0)-1,0)</f>
        <v>12.8</v>
      </c>
      <c r="L32" s="33">
        <f ca="1">11.1*OFFSET(L$112,MATCH($N$1,$C$112:$C$113,0)-1,0)</f>
        <v>11.1</v>
      </c>
      <c r="M32" s="33">
        <f ca="1">7.5*OFFSET(M$112,MATCH($N$1,$C$112:$C$113,0)-1,0)</f>
        <v>7.5</v>
      </c>
      <c r="N32" s="33">
        <v>9</v>
      </c>
      <c r="O32" s="29">
        <f t="shared" ca="1" si="0"/>
        <v>-0.16666666666666671</v>
      </c>
      <c r="P32" s="29">
        <f t="shared" ca="1" si="1"/>
        <v>-0.31297709923664119</v>
      </c>
    </row>
    <row r="33" spans="1:16" ht="18" customHeight="1" x14ac:dyDescent="0.2">
      <c r="A33" s="199"/>
      <c r="B33" s="37" t="s">
        <v>75</v>
      </c>
      <c r="C33" s="33"/>
      <c r="D33" s="33">
        <f ca="1">47.8*OFFSET(D$112,MATCH($N$1,$C$112:$C$113,0)-1,0)</f>
        <v>47.8</v>
      </c>
      <c r="E33" s="33">
        <f ca="1">47.2*OFFSET(E$112,MATCH($N$1,$C$112:$C$113,0)-1,0)</f>
        <v>47.2</v>
      </c>
      <c r="F33" s="33">
        <f ca="1">42.5*OFFSET(F$112,MATCH($N$1,$C$112:$C$113,0)-1,0)</f>
        <v>42.5</v>
      </c>
      <c r="G33" s="33">
        <f ca="1">43.9*OFFSET(G$112,MATCH($N$1,$C$112:$C$113,0)-1,0)</f>
        <v>43.9</v>
      </c>
      <c r="H33" s="33">
        <f ca="1">34.5*OFFSET(H$112,MATCH($N$1,$C$112:$C$113,0)-1,0)</f>
        <v>34.5</v>
      </c>
      <c r="I33" s="33">
        <f ca="1">39.7*OFFSET(I$112,MATCH($N$1,$C$112:$C$113,0)-1,0)</f>
        <v>39.700000000000003</v>
      </c>
      <c r="J33" s="33">
        <f ca="1">42.9*OFFSET(J$112,MATCH($N$1,$C$112:$C$113,0)-1,0)</f>
        <v>42.9</v>
      </c>
      <c r="K33" s="33">
        <f ca="1">44.4*OFFSET(K$112,MATCH($N$1,$C$112:$C$113,0)-1,0)</f>
        <v>44.4</v>
      </c>
      <c r="L33" s="33">
        <f ca="1">47.1*OFFSET(L$112,MATCH($N$1,$C$112:$C$113,0)-1,0)</f>
        <v>47.1</v>
      </c>
      <c r="M33" s="33">
        <f ca="1">28.3*OFFSET(M$112,MATCH($N$1,$C$112:$C$113,0)-1,0)</f>
        <v>28.3</v>
      </c>
      <c r="N33" s="33">
        <v>34.4</v>
      </c>
      <c r="O33" s="29">
        <f t="shared" ca="1" si="0"/>
        <v>-0.28033472803347281</v>
      </c>
      <c r="P33" s="29">
        <f t="shared" ca="1" si="1"/>
        <v>-0.19813519813519814</v>
      </c>
    </row>
    <row r="34" spans="1:16" ht="18" customHeight="1" x14ac:dyDescent="0.2">
      <c r="A34" s="199"/>
      <c r="B34" s="37" t="s">
        <v>76</v>
      </c>
      <c r="C34" s="33"/>
      <c r="D34" s="33">
        <f ca="1">17.9*OFFSET(D$112,MATCH($N$1,$C$112:$C$113,0)-1,0)</f>
        <v>17.899999999999999</v>
      </c>
      <c r="E34" s="33">
        <f ca="1">20.4*OFFSET(E$112,MATCH($N$1,$C$112:$C$113,0)-1,0)</f>
        <v>20.399999999999999</v>
      </c>
      <c r="F34" s="33">
        <f ca="1">16.9*OFFSET(F$112,MATCH($N$1,$C$112:$C$113,0)-1,0)</f>
        <v>16.899999999999999</v>
      </c>
      <c r="G34" s="33">
        <f ca="1">20.3*OFFSET(G$112,MATCH($N$1,$C$112:$C$113,0)-1,0)</f>
        <v>20.3</v>
      </c>
      <c r="H34" s="33">
        <f ca="1">19.1*OFFSET(H$112,MATCH($N$1,$C$112:$C$113,0)-1,0)</f>
        <v>19.100000000000001</v>
      </c>
      <c r="I34" s="33">
        <f ca="1">19.2*OFFSET(I$112,MATCH($N$1,$C$112:$C$113,0)-1,0)</f>
        <v>19.2</v>
      </c>
      <c r="J34" s="33">
        <f ca="1">18.9*OFFSET(J$112,MATCH($N$1,$C$112:$C$113,0)-1,0)</f>
        <v>18.899999999999999</v>
      </c>
      <c r="K34" s="33">
        <f ca="1">21.9*OFFSET(K$112,MATCH($N$1,$C$112:$C$113,0)-1,0)</f>
        <v>21.9</v>
      </c>
      <c r="L34" s="33">
        <f ca="1">22.2*OFFSET(L$112,MATCH($N$1,$C$112:$C$113,0)-1,0)</f>
        <v>22.2</v>
      </c>
      <c r="M34" s="33">
        <f ca="1">11.7*OFFSET(M$112,MATCH($N$1,$C$112:$C$113,0)-1,0)</f>
        <v>11.7</v>
      </c>
      <c r="N34" s="33">
        <v>11.200000000000001</v>
      </c>
      <c r="O34" s="29">
        <f t="shared" ca="1" si="0"/>
        <v>-0.37430167597765351</v>
      </c>
      <c r="P34" s="29">
        <f t="shared" ca="1" si="1"/>
        <v>-0.40740740740740733</v>
      </c>
    </row>
    <row r="35" spans="1:16" ht="18" customHeight="1" x14ac:dyDescent="0.2">
      <c r="A35" s="199"/>
      <c r="B35" s="37" t="s">
        <v>77</v>
      </c>
      <c r="C35" s="33"/>
      <c r="D35" s="33">
        <f ca="1">65.7*OFFSET(D$112,MATCH($N$1,$C$112:$C$113,0)-1,0)</f>
        <v>65.7</v>
      </c>
      <c r="E35" s="33">
        <f ca="1">67.6*OFFSET(E$112,MATCH($N$1,$C$112:$C$113,0)-1,0)</f>
        <v>67.599999999999994</v>
      </c>
      <c r="F35" s="33">
        <f ca="1">59.4*OFFSET(F$112,MATCH($N$1,$C$112:$C$113,0)-1,0)</f>
        <v>59.4</v>
      </c>
      <c r="G35" s="33">
        <f ca="1">64.2*OFFSET(G$112,MATCH($N$1,$C$112:$C$113,0)-1,0)</f>
        <v>64.2</v>
      </c>
      <c r="H35" s="33">
        <f ca="1">53.5*OFFSET(H$112,MATCH($N$1,$C$112:$C$113,0)-1,0)</f>
        <v>53.5</v>
      </c>
      <c r="I35" s="33">
        <f ca="1">58.9*OFFSET(I$112,MATCH($N$1,$C$112:$C$113,0)-1,0)</f>
        <v>58.9</v>
      </c>
      <c r="J35" s="33">
        <f ca="1">61.8*OFFSET(J$112,MATCH($N$1,$C$112:$C$113,0)-1,0)</f>
        <v>61.8</v>
      </c>
      <c r="K35" s="33">
        <f ca="1">66.4*OFFSET(K$112,MATCH($N$1,$C$112:$C$113,0)-1,0)</f>
        <v>66.400000000000006</v>
      </c>
      <c r="L35" s="33">
        <f ca="1">69.3*OFFSET(L$112,MATCH($N$1,$C$112:$C$113,0)-1,0)</f>
        <v>69.3</v>
      </c>
      <c r="M35" s="33">
        <f ca="1">40*OFFSET(M$112,MATCH($N$1,$C$112:$C$113,0)-1,0)</f>
        <v>40</v>
      </c>
      <c r="N35" s="33">
        <v>45.6</v>
      </c>
      <c r="O35" s="29">
        <f t="shared" ca="1" si="0"/>
        <v>-0.30593607305936071</v>
      </c>
      <c r="P35" s="29">
        <f t="shared" ca="1" si="1"/>
        <v>-0.26213592233009703</v>
      </c>
    </row>
    <row r="36" spans="1:16" ht="18" customHeight="1" x14ac:dyDescent="0.2">
      <c r="A36" s="199"/>
      <c r="B36" s="42" t="s">
        <v>78</v>
      </c>
      <c r="C36" s="43"/>
      <c r="D36" s="43">
        <f ca="1">39.5*OFFSET(D$112,MATCH($N$1,$C$112:$C$113,0)-1,0)</f>
        <v>39.5</v>
      </c>
      <c r="E36" s="43">
        <f ca="1">40*OFFSET(E$112,MATCH($N$1,$C$112:$C$113,0)-1,0)</f>
        <v>40</v>
      </c>
      <c r="F36" s="43">
        <f ca="1">36.1*OFFSET(F$112,MATCH($N$1,$C$112:$C$113,0)-1,0)</f>
        <v>36.1</v>
      </c>
      <c r="G36" s="43">
        <f ca="1">36.9*OFFSET(G$112,MATCH($N$1,$C$112:$C$113,0)-1,0)</f>
        <v>36.9</v>
      </c>
      <c r="H36" s="43">
        <f ca="1">29.6*OFFSET(H$112,MATCH($N$1,$C$112:$C$113,0)-1,0)</f>
        <v>29.6</v>
      </c>
      <c r="I36" s="43">
        <f ca="1">41.2*OFFSET(I$112,MATCH($N$1,$C$112:$C$113,0)-1,0)</f>
        <v>41.2</v>
      </c>
      <c r="J36" s="43">
        <f ca="1">49.2*OFFSET(J$112,MATCH($N$1,$C$112:$C$113,0)-1,0)</f>
        <v>49.2</v>
      </c>
      <c r="K36" s="43">
        <f ca="1">38.1*OFFSET(K$112,MATCH($N$1,$C$112:$C$113,0)-1,0)</f>
        <v>38.1</v>
      </c>
      <c r="L36" s="43">
        <f ca="1">47.5*OFFSET(L$112,MATCH($N$1,$C$112:$C$113,0)-1,0)</f>
        <v>47.5</v>
      </c>
      <c r="M36" s="43">
        <f ca="1">34.8*OFFSET(M$112,MATCH($N$1,$C$112:$C$113,0)-1,0)</f>
        <v>34.799999999999997</v>
      </c>
      <c r="N36" s="43">
        <v>36.9</v>
      </c>
      <c r="O36" s="29">
        <f t="shared" ca="1" si="0"/>
        <v>-6.5822784810126614E-2</v>
      </c>
      <c r="P36" s="29">
        <f t="shared" ca="1" si="1"/>
        <v>-0.25000000000000006</v>
      </c>
    </row>
    <row r="37" spans="1:16" ht="18" customHeight="1" x14ac:dyDescent="0.2">
      <c r="A37" s="199"/>
      <c r="B37" s="42" t="s">
        <v>79</v>
      </c>
      <c r="C37" s="43"/>
      <c r="D37" s="43">
        <f ca="1">16.1*OFFSET(D$112,MATCH($N$1,$C$112:$C$113,0)-1,0)</f>
        <v>16.100000000000001</v>
      </c>
      <c r="E37" s="43">
        <f ca="1">16.2*OFFSET(E$112,MATCH($N$1,$C$112:$C$113,0)-1,0)</f>
        <v>16.2</v>
      </c>
      <c r="F37" s="43">
        <f ca="1">17.5*OFFSET(F$112,MATCH($N$1,$C$112:$C$113,0)-1,0)</f>
        <v>17.5</v>
      </c>
      <c r="G37" s="43">
        <f ca="1">17.2*OFFSET(G$112,MATCH($N$1,$C$112:$C$113,0)-1,0)</f>
        <v>17.2</v>
      </c>
      <c r="H37" s="43">
        <f ca="1">12.9*OFFSET(H$112,MATCH($N$1,$C$112:$C$113,0)-1,0)</f>
        <v>12.9</v>
      </c>
      <c r="I37" s="43">
        <f ca="1">24.4*OFFSET(I$112,MATCH($N$1,$C$112:$C$113,0)-1,0)</f>
        <v>24.4</v>
      </c>
      <c r="J37" s="43">
        <f ca="1">27.7*OFFSET(J$112,MATCH($N$1,$C$112:$C$113,0)-1,0)</f>
        <v>27.7</v>
      </c>
      <c r="K37" s="43">
        <f ca="1">16.3*OFFSET(K$112,MATCH($N$1,$C$112:$C$113,0)-1,0)</f>
        <v>16.3</v>
      </c>
      <c r="L37" s="43">
        <f ca="1">21.2*OFFSET(L$112,MATCH($N$1,$C$112:$C$113,0)-1,0)</f>
        <v>21.2</v>
      </c>
      <c r="M37" s="43">
        <f ca="1">19*OFFSET(M$112,MATCH($N$1,$C$112:$C$113,0)-1,0)</f>
        <v>19</v>
      </c>
      <c r="N37" s="43">
        <v>18.2</v>
      </c>
      <c r="O37" s="29">
        <f t="shared" ca="1" si="0"/>
        <v>0.13043478260869551</v>
      </c>
      <c r="P37" s="29">
        <f t="shared" ca="1" si="1"/>
        <v>-0.34296028880866425</v>
      </c>
    </row>
    <row r="38" spans="1:16" ht="18" customHeight="1" x14ac:dyDescent="0.2">
      <c r="A38" s="199"/>
      <c r="B38" s="37" t="s">
        <v>80</v>
      </c>
      <c r="C38" s="33"/>
      <c r="D38" s="33">
        <f ca="1">4.4*OFFSET(D$112,MATCH($N$1,$C$112:$C$113,0)-1,0)</f>
        <v>4.4000000000000004</v>
      </c>
      <c r="E38" s="33">
        <f ca="1">4.7*OFFSET(E$112,MATCH($N$1,$C$112:$C$113,0)-1,0)</f>
        <v>4.7</v>
      </c>
      <c r="F38" s="33">
        <f ca="1">3.2*OFFSET(F$112,MATCH($N$1,$C$112:$C$113,0)-1,0)</f>
        <v>3.2</v>
      </c>
      <c r="G38" s="33">
        <f ca="1">3.6*OFFSET(G$112,MATCH($N$1,$C$112:$C$113,0)-1,0)</f>
        <v>3.6</v>
      </c>
      <c r="H38" s="33">
        <f ca="1">2.6*OFFSET(H$112,MATCH($N$1,$C$112:$C$113,0)-1,0)</f>
        <v>2.6</v>
      </c>
      <c r="I38" s="33">
        <f ca="1">2.4*OFFSET(I$112,MATCH($N$1,$C$112:$C$113,0)-1,0)</f>
        <v>2.4</v>
      </c>
      <c r="J38" s="33">
        <f ca="1">6.1*OFFSET(J$112,MATCH($N$1,$C$112:$C$113,0)-1,0)</f>
        <v>6.1</v>
      </c>
      <c r="K38" s="33">
        <f ca="1">4.4*OFFSET(K$112,MATCH($N$1,$C$112:$C$113,0)-1,0)</f>
        <v>4.4000000000000004</v>
      </c>
      <c r="L38" s="33">
        <f ca="1">4.4*OFFSET(L$112,MATCH($N$1,$C$112:$C$113,0)-1,0)</f>
        <v>4.4000000000000004</v>
      </c>
      <c r="M38" s="33">
        <f ca="1">3.9*OFFSET(M$112,MATCH($N$1,$C$112:$C$113,0)-1,0)</f>
        <v>3.9</v>
      </c>
      <c r="N38" s="33"/>
      <c r="O38" s="29" t="str">
        <f t="shared" si="0"/>
        <v/>
      </c>
      <c r="P38" s="29" t="str">
        <f t="shared" si="1"/>
        <v/>
      </c>
    </row>
    <row r="39" spans="1:16" ht="18" customHeight="1" x14ac:dyDescent="0.2">
      <c r="A39" s="199"/>
      <c r="B39" s="37" t="s">
        <v>81</v>
      </c>
      <c r="C39" s="33"/>
      <c r="D39" s="33">
        <f ca="1">0.8*OFFSET(D$112,MATCH($N$1,$C$112:$C$113,0)-1,0)</f>
        <v>0.8</v>
      </c>
      <c r="E39" s="33">
        <f ca="1">0.7*OFFSET(E$112,MATCH($N$1,$C$112:$C$113,0)-1,0)</f>
        <v>0.7</v>
      </c>
      <c r="F39" s="33">
        <f ca="1">1.6*OFFSET(F$112,MATCH($N$1,$C$112:$C$113,0)-1,0)</f>
        <v>1.6</v>
      </c>
      <c r="G39" s="33">
        <f ca="1">1.9*OFFSET(G$112,MATCH($N$1,$C$112:$C$113,0)-1,0)</f>
        <v>1.9</v>
      </c>
      <c r="H39" s="33">
        <f ca="1">0.4*OFFSET(H$112,MATCH($N$1,$C$112:$C$113,0)-1,0)</f>
        <v>0.4</v>
      </c>
      <c r="I39" s="33">
        <f ca="1">0.4*OFFSET(I$112,MATCH($N$1,$C$112:$C$113,0)-1,0)</f>
        <v>0.4</v>
      </c>
      <c r="J39" s="33">
        <f ca="1">0.5*OFFSET(J$112,MATCH($N$1,$C$112:$C$113,0)-1,0)</f>
        <v>0.5</v>
      </c>
      <c r="K39" s="33">
        <f ca="1">0.3*OFFSET(K$112,MATCH($N$1,$C$112:$C$113,0)-1,0)</f>
        <v>0.3</v>
      </c>
      <c r="L39" s="33">
        <f ca="1">0.5*OFFSET(L$112,MATCH($N$1,$C$112:$C$113,0)-1,0)</f>
        <v>0.5</v>
      </c>
      <c r="M39" s="33">
        <f ca="1">0.7*OFFSET(M$112,MATCH($N$1,$C$112:$C$113,0)-1,0)</f>
        <v>0.7</v>
      </c>
      <c r="N39" s="33"/>
      <c r="O39" s="29" t="str">
        <f t="shared" si="0"/>
        <v/>
      </c>
      <c r="P39" s="29" t="str">
        <f t="shared" si="1"/>
        <v/>
      </c>
    </row>
    <row r="40" spans="1:16" ht="18" customHeight="1" x14ac:dyDescent="0.2">
      <c r="A40" s="199"/>
      <c r="B40" s="37" t="s">
        <v>82</v>
      </c>
      <c r="C40" s="33"/>
      <c r="D40" s="33">
        <f ca="1">0.3*OFFSET(D$112,MATCH($N$1,$C$112:$C$113,0)-1,0)</f>
        <v>0.3</v>
      </c>
      <c r="E40" s="33">
        <f ca="1">0.2*OFFSET(E$112,MATCH($N$1,$C$112:$C$113,0)-1,0)</f>
        <v>0.2</v>
      </c>
      <c r="F40" s="33">
        <f ca="1">0.4*OFFSET(F$112,MATCH($N$1,$C$112:$C$113,0)-1,0)</f>
        <v>0.4</v>
      </c>
      <c r="G40" s="33">
        <f ca="1">0.4*OFFSET(G$112,MATCH($N$1,$C$112:$C$113,0)-1,0)</f>
        <v>0.4</v>
      </c>
      <c r="H40" s="33">
        <f ca="1">0.8*OFFSET(H$112,MATCH($N$1,$C$112:$C$113,0)-1,0)</f>
        <v>0.8</v>
      </c>
      <c r="I40" s="33">
        <f ca="1">0.6*OFFSET(I$112,MATCH($N$1,$C$112:$C$113,0)-1,0)</f>
        <v>0.6</v>
      </c>
      <c r="J40" s="33">
        <f ca="1">1.2*OFFSET(J$112,MATCH($N$1,$C$112:$C$113,0)-1,0)</f>
        <v>1.2</v>
      </c>
      <c r="K40" s="33">
        <f ca="1">2.2*OFFSET(K$112,MATCH($N$1,$C$112:$C$113,0)-1,0)</f>
        <v>2.2000000000000002</v>
      </c>
      <c r="L40" s="33">
        <f ca="1">0.4*OFFSET(L$112,MATCH($N$1,$C$112:$C$113,0)-1,0)</f>
        <v>0.4</v>
      </c>
      <c r="M40" s="33">
        <f ca="1">0.4*OFFSET(M$112,MATCH($N$1,$C$112:$C$113,0)-1,0)</f>
        <v>0.4</v>
      </c>
      <c r="N40" s="33"/>
      <c r="O40" s="29" t="str">
        <f t="shared" si="0"/>
        <v/>
      </c>
      <c r="P40" s="29" t="str">
        <f t="shared" si="1"/>
        <v/>
      </c>
    </row>
    <row r="41" spans="1:16" ht="18" customHeight="1" thickBot="1" x14ac:dyDescent="0.25">
      <c r="A41" s="200"/>
      <c r="B41" s="44" t="s">
        <v>83</v>
      </c>
      <c r="C41" s="45"/>
      <c r="D41" s="45">
        <f ca="1">10.6*OFFSET(D$112,MATCH($N$1,$C$112:$C$113,0)-1,0)</f>
        <v>10.6</v>
      </c>
      <c r="E41" s="45">
        <f ca="1">10.5*OFFSET(E$112,MATCH($N$1,$C$112:$C$113,0)-1,0)</f>
        <v>10.5</v>
      </c>
      <c r="F41" s="45">
        <f ca="1">12.3*OFFSET(F$112,MATCH($N$1,$C$112:$C$113,0)-1,0)</f>
        <v>12.3</v>
      </c>
      <c r="G41" s="45">
        <f ca="1">11.3*OFFSET(G$112,MATCH($N$1,$C$112:$C$113,0)-1,0)</f>
        <v>11.3</v>
      </c>
      <c r="H41" s="45">
        <f ca="1">9.1*OFFSET(H$112,MATCH($N$1,$C$112:$C$113,0)-1,0)</f>
        <v>9.1</v>
      </c>
      <c r="I41" s="45">
        <f ca="1">21*OFFSET(I$112,MATCH($N$1,$C$112:$C$113,0)-1,0)</f>
        <v>21</v>
      </c>
      <c r="J41" s="45">
        <f ca="1">20*OFFSET(J$112,MATCH($N$1,$C$112:$C$113,0)-1,0)</f>
        <v>20</v>
      </c>
      <c r="K41" s="45">
        <f ca="1">9.3*OFFSET(K$112,MATCH($N$1,$C$112:$C$113,0)-1,0)</f>
        <v>9.3000000000000007</v>
      </c>
      <c r="L41" s="45">
        <f ca="1">16*OFFSET(L$112,MATCH($N$1,$C$112:$C$113,0)-1,0)</f>
        <v>16</v>
      </c>
      <c r="M41" s="45">
        <f ca="1">8*OFFSET(M$112,MATCH($N$1,$C$112:$C$113,0)-1,0)</f>
        <v>8</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130</v>
      </c>
      <c r="F46" s="94" t="s">
        <v>130</v>
      </c>
      <c r="G46" s="94" t="s">
        <v>22</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Under 10m demersal trawl/seine</v>
      </c>
      <c r="C48" s="96"/>
      <c r="D48" s="96"/>
      <c r="E48" s="96"/>
      <c r="F48" s="96"/>
      <c r="G48" s="96"/>
      <c r="K48" s="96" t="str">
        <f>$B24&amp;CHAR(10)&amp;$A$1</f>
        <v>Operating profit per kW day at sea (£)
Under 10m demersal trawl/seine</v>
      </c>
    </row>
    <row r="49" spans="1:11" s="82" customFormat="1" x14ac:dyDescent="0.2">
      <c r="A49" s="96" t="str">
        <f>$B22&amp;CHAR(10)&amp;$A$1</f>
        <v>Fishing income per kW day at sea (£)
Under 10m demersal trawl/seine</v>
      </c>
    </row>
    <row r="50" spans="1:11" s="82" customFormat="1" x14ac:dyDescent="0.2">
      <c r="A50" s="96" t="str">
        <f>$B20&amp;CHAR(10)&amp;$A$1</f>
        <v>Average price per tonne landed (£)
Under 10m demersal trawl/seine</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Under 10m demersal trawl/seine</v>
      </c>
      <c r="F62" s="96" t="str">
        <f>$B20&amp;CHAR(10)&amp;$A$1</f>
        <v>Average price per tonne landed (£)
Under 10m demersal trawl/seine</v>
      </c>
      <c r="K62" s="96" t="str">
        <f>"Average annual operating profit per vessel (£'000)"&amp;CHAR(10)&amp;$A$1</f>
        <v>Average annual operating profit per vessel (£'000)
Under 10m demersal trawl/seine</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Under 10m demersal trawl/seine</v>
      </c>
      <c r="F76" s="96" t="str">
        <f>"Top 5 landed species by value in "&amp;A77&amp;CHAR(10)&amp;A1</f>
        <v>Top 5 landed species by value in 2020
Under 10m demersal trawl/seine</v>
      </c>
    </row>
    <row r="77" spans="1:11" s="96" customFormat="1" x14ac:dyDescent="0.2">
      <c r="A77" s="96">
        <v>2020</v>
      </c>
      <c r="B77" s="96" t="s">
        <v>459</v>
      </c>
      <c r="C77" s="97">
        <v>0.35871093396169546</v>
      </c>
      <c r="D77" s="98">
        <v>12153634</v>
      </c>
      <c r="G77" s="96" t="s">
        <v>460</v>
      </c>
      <c r="H77" s="97">
        <v>0.38952633746243759</v>
      </c>
      <c r="I77" s="98">
        <v>12153634</v>
      </c>
      <c r="K77" s="96" t="s">
        <v>87</v>
      </c>
    </row>
    <row r="78" spans="1:11" s="96" customFormat="1" x14ac:dyDescent="0.2">
      <c r="B78" s="96" t="s">
        <v>461</v>
      </c>
      <c r="C78" s="97">
        <v>6.3708852501649857E-2</v>
      </c>
      <c r="D78" s="98">
        <v>1692097</v>
      </c>
      <c r="G78" s="96" t="s">
        <v>269</v>
      </c>
      <c r="H78" s="97">
        <v>0.14555412610225588</v>
      </c>
      <c r="I78" s="98">
        <v>553960</v>
      </c>
    </row>
    <row r="79" spans="1:11" s="96" customFormat="1" x14ac:dyDescent="0.2">
      <c r="B79" s="96" t="s">
        <v>462</v>
      </c>
      <c r="C79" s="97">
        <v>5.5718184196747365E-2</v>
      </c>
      <c r="D79" s="98">
        <v>3689192</v>
      </c>
      <c r="G79" s="96" t="s">
        <v>463</v>
      </c>
      <c r="H79" s="97">
        <v>6.6826181229514309E-2</v>
      </c>
      <c r="I79" s="98">
        <v>3050596</v>
      </c>
    </row>
    <row r="80" spans="1:11" s="96" customFormat="1" x14ac:dyDescent="0.2">
      <c r="B80" s="96" t="s">
        <v>464</v>
      </c>
      <c r="C80" s="97">
        <v>5.2853198047372707E-2</v>
      </c>
      <c r="D80" s="98">
        <v>3050596</v>
      </c>
      <c r="G80" s="96" t="s">
        <v>465</v>
      </c>
      <c r="H80" s="97">
        <v>6.1748942534774288E-2</v>
      </c>
      <c r="I80" s="98">
        <v>1692097</v>
      </c>
    </row>
    <row r="81" spans="1:19" s="96" customFormat="1" x14ac:dyDescent="0.2">
      <c r="B81" s="96" t="s">
        <v>466</v>
      </c>
      <c r="C81" s="97">
        <v>4.4292479538095772E-2</v>
      </c>
      <c r="D81" s="98">
        <v>11115023</v>
      </c>
      <c r="G81" s="96" t="s">
        <v>467</v>
      </c>
      <c r="H81" s="97">
        <v>4.040801245261666E-2</v>
      </c>
      <c r="I81" s="98">
        <v>3689192</v>
      </c>
    </row>
    <row r="82" spans="1:19" s="96" customFormat="1" x14ac:dyDescent="0.2">
      <c r="B82" s="96" t="s">
        <v>468</v>
      </c>
      <c r="C82" s="97">
        <v>0.42471635175443889</v>
      </c>
      <c r="D82" s="98">
        <v>5920853</v>
      </c>
      <c r="G82" s="96" t="s">
        <v>469</v>
      </c>
      <c r="H82" s="97">
        <v>0.29593640021840129</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102</v>
      </c>
      <c r="D92" s="102">
        <v>0.47651576148383695</v>
      </c>
      <c r="E92" s="102">
        <v>0.48030103423782949</v>
      </c>
      <c r="F92" s="102">
        <v>0.5486506128302141</v>
      </c>
      <c r="G92" s="102">
        <v>0.4757522666569558</v>
      </c>
      <c r="H92" s="102">
        <v>0.50897410250597219</v>
      </c>
      <c r="I92" s="102">
        <v>0.48086354719956342</v>
      </c>
      <c r="J92" s="102">
        <v>0.49966774396386832</v>
      </c>
      <c r="K92" s="102">
        <v>0.47447301304355155</v>
      </c>
      <c r="L92" s="102">
        <v>0.38952633746243759</v>
      </c>
      <c r="M92" s="102">
        <v>0.3962727410428904</v>
      </c>
      <c r="O92" s="96">
        <v>12153634</v>
      </c>
    </row>
    <row r="93" spans="1:19" s="96" customFormat="1" hidden="1" x14ac:dyDescent="0.2">
      <c r="B93" s="96">
        <v>2</v>
      </c>
      <c r="C93" s="96" t="s">
        <v>144</v>
      </c>
      <c r="D93" s="102">
        <v>0.11757045271554849</v>
      </c>
      <c r="E93" s="102">
        <v>0.12547485386848753</v>
      </c>
      <c r="F93" s="102">
        <v>7.8621005651854023E-2</v>
      </c>
      <c r="G93" s="102">
        <v>8.6353515762858699E-2</v>
      </c>
      <c r="H93" s="102">
        <v>7.4292353263172253E-2</v>
      </c>
      <c r="I93" s="102">
        <v>6.7167466000344872E-2</v>
      </c>
      <c r="J93" s="102">
        <v>9.4021609751084437E-2</v>
      </c>
      <c r="K93" s="102">
        <v>0.10187991914593829</v>
      </c>
      <c r="L93" s="102">
        <v>0.14555412610225588</v>
      </c>
      <c r="M93" s="102">
        <v>0.17948807750044413</v>
      </c>
      <c r="O93" s="96">
        <v>553960</v>
      </c>
    </row>
    <row r="94" spans="1:19" s="96" customFormat="1" hidden="1" x14ac:dyDescent="0.2">
      <c r="B94" s="96">
        <v>3</v>
      </c>
      <c r="C94" s="96" t="s">
        <v>145</v>
      </c>
      <c r="D94" s="102"/>
      <c r="E94" s="102">
        <v>4.2810390224912724E-2</v>
      </c>
      <c r="F94" s="102">
        <v>5.148440264264894E-2</v>
      </c>
      <c r="G94" s="102"/>
      <c r="H94" s="102">
        <v>5.1310628454169657E-2</v>
      </c>
      <c r="I94" s="102">
        <v>6.9365830866617142E-2</v>
      </c>
      <c r="J94" s="102">
        <v>7.9636557777047465E-2</v>
      </c>
      <c r="K94" s="102">
        <v>7.3451394282619861E-2</v>
      </c>
      <c r="L94" s="102">
        <v>6.6826181229514309E-2</v>
      </c>
      <c r="M94" s="102">
        <v>4.2772091051526302E-2</v>
      </c>
      <c r="O94" s="96">
        <v>3050596</v>
      </c>
    </row>
    <row r="95" spans="1:19" s="96" customFormat="1" hidden="1" x14ac:dyDescent="0.2">
      <c r="B95" s="96">
        <v>4</v>
      </c>
      <c r="C95" s="96" t="s">
        <v>100</v>
      </c>
      <c r="D95" s="102">
        <v>6.7552289845660821E-2</v>
      </c>
      <c r="E95" s="102">
        <v>4.8353042078686993E-2</v>
      </c>
      <c r="F95" s="102">
        <v>4.5163162417323613E-2</v>
      </c>
      <c r="G95" s="102">
        <v>5.7111106540407346E-2</v>
      </c>
      <c r="H95" s="102"/>
      <c r="I95" s="102">
        <v>4.810786048270458E-2</v>
      </c>
      <c r="J95" s="102">
        <v>4.659161418200522E-2</v>
      </c>
      <c r="K95" s="102"/>
      <c r="L95" s="102">
        <v>6.1748942534774288E-2</v>
      </c>
      <c r="M95" s="102">
        <v>5.4119807550200287E-2</v>
      </c>
      <c r="O95" s="96">
        <v>1692097</v>
      </c>
    </row>
    <row r="96" spans="1:19" s="96" customFormat="1" hidden="1" x14ac:dyDescent="0.2">
      <c r="B96" s="96">
        <v>5</v>
      </c>
      <c r="C96" s="96" t="s">
        <v>128</v>
      </c>
      <c r="D96" s="102"/>
      <c r="E96" s="102"/>
      <c r="F96" s="102"/>
      <c r="G96" s="102"/>
      <c r="H96" s="102"/>
      <c r="I96" s="102"/>
      <c r="J96" s="102">
        <v>7.0211297906862605E-2</v>
      </c>
      <c r="K96" s="102">
        <v>4.7485408262302464E-2</v>
      </c>
      <c r="L96" s="102">
        <v>4.040801245261666E-2</v>
      </c>
      <c r="M96" s="102">
        <v>3.9813263352162814E-2</v>
      </c>
      <c r="O96" s="96">
        <v>3689192</v>
      </c>
    </row>
    <row r="97" spans="1:15" s="96" customFormat="1" hidden="1" x14ac:dyDescent="0.2">
      <c r="B97" s="96">
        <v>6</v>
      </c>
      <c r="C97" s="96" t="s">
        <v>103</v>
      </c>
      <c r="D97" s="102"/>
      <c r="E97" s="102"/>
      <c r="F97" s="102"/>
      <c r="G97" s="102">
        <v>4.2445331947735726E-2</v>
      </c>
      <c r="H97" s="102">
        <v>4.5220728471012515E-2</v>
      </c>
      <c r="I97" s="102">
        <v>9.9179590925353542E-2</v>
      </c>
      <c r="J97" s="102"/>
      <c r="K97" s="102">
        <v>5.2031658858822882E-2</v>
      </c>
      <c r="L97" s="102"/>
      <c r="M97" s="102"/>
      <c r="O97" s="96">
        <v>11115023</v>
      </c>
    </row>
    <row r="98" spans="1:15" s="96" customFormat="1" hidden="1" x14ac:dyDescent="0.2">
      <c r="B98" s="96">
        <v>7</v>
      </c>
      <c r="C98" s="96" t="s">
        <v>193</v>
      </c>
      <c r="D98" s="102">
        <v>5.3448964192623585E-2</v>
      </c>
      <c r="E98" s="102">
        <v>5.3553319840432288E-2</v>
      </c>
      <c r="F98" s="102">
        <v>4.9089211866834154E-2</v>
      </c>
      <c r="G98" s="102">
        <v>5.3638306423876875E-2</v>
      </c>
      <c r="H98" s="102">
        <v>4.9198473645301104E-2</v>
      </c>
      <c r="I98" s="102"/>
      <c r="J98" s="102"/>
      <c r="K98" s="102"/>
      <c r="L98" s="102"/>
      <c r="M98" s="102"/>
      <c r="O98" s="96">
        <v>2480382</v>
      </c>
    </row>
    <row r="99" spans="1:15" s="96" customFormat="1" hidden="1" x14ac:dyDescent="0.2">
      <c r="B99" s="96">
        <v>8</v>
      </c>
      <c r="C99" s="96" t="s">
        <v>228</v>
      </c>
      <c r="D99" s="102">
        <v>2.8362029990461474E-2</v>
      </c>
      <c r="E99" s="102"/>
      <c r="F99" s="102"/>
      <c r="G99" s="102"/>
      <c r="H99" s="102"/>
      <c r="I99" s="102"/>
      <c r="J99" s="102"/>
      <c r="K99" s="102"/>
      <c r="L99" s="102"/>
      <c r="M99" s="102"/>
      <c r="O99" s="96">
        <v>7434864</v>
      </c>
    </row>
    <row r="100" spans="1:15" s="96" customFormat="1" hidden="1" x14ac:dyDescent="0.2">
      <c r="B100" s="96">
        <v>9</v>
      </c>
      <c r="C100" s="96" t="s">
        <v>107</v>
      </c>
      <c r="D100" s="102">
        <v>0.25655050177186867</v>
      </c>
      <c r="E100" s="102">
        <v>0.24950735974965099</v>
      </c>
      <c r="F100" s="102">
        <v>0.22699160459112513</v>
      </c>
      <c r="G100" s="102">
        <v>0.28469947266816553</v>
      </c>
      <c r="H100" s="102">
        <v>0.27100371366037224</v>
      </c>
      <c r="I100" s="102">
        <v>0.23531570452541642</v>
      </c>
      <c r="J100" s="102">
        <v>0.209871176419132</v>
      </c>
      <c r="K100" s="102">
        <v>0.25067860640676498</v>
      </c>
      <c r="L100" s="102">
        <v>0.29593640021840129</v>
      </c>
      <c r="M100" s="102">
        <v>0.28753401950277607</v>
      </c>
      <c r="O100" s="96">
        <v>5920853</v>
      </c>
    </row>
    <row r="101" spans="1:15" s="96" customFormat="1" hidden="1" x14ac:dyDescent="0.2">
      <c r="B101" s="96">
        <v>10</v>
      </c>
      <c r="D101" s="102"/>
      <c r="E101" s="102"/>
      <c r="F101" s="102"/>
      <c r="G101" s="102"/>
      <c r="H101" s="102"/>
      <c r="I101" s="102"/>
      <c r="J101" s="102"/>
      <c r="K101" s="102"/>
      <c r="L101" s="102"/>
      <c r="M101" s="102"/>
      <c r="O101" s="96">
        <v>14393110</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10</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42</v>
      </c>
      <c r="D120" s="56">
        <v>82</v>
      </c>
      <c r="E120" s="56">
        <v>42</v>
      </c>
      <c r="F120" s="57">
        <v>172</v>
      </c>
    </row>
    <row r="121" spans="1:15" ht="18" customHeight="1" x14ac:dyDescent="0.2">
      <c r="A121" s="194" t="s">
        <v>27</v>
      </c>
      <c r="B121" s="35" t="s">
        <v>62</v>
      </c>
      <c r="C121" s="58">
        <v>9.8088092803955078</v>
      </c>
      <c r="D121" s="58">
        <v>9.8403658866882324</v>
      </c>
      <c r="E121" s="58">
        <v>9.5845241546630859</v>
      </c>
      <c r="F121" s="59">
        <v>9.7523832321166992</v>
      </c>
    </row>
    <row r="122" spans="1:15" ht="18" customHeight="1" x14ac:dyDescent="0.2">
      <c r="A122" s="195"/>
      <c r="B122" s="37" t="s">
        <v>55</v>
      </c>
      <c r="C122" s="60">
        <v>127.83333587646484</v>
      </c>
      <c r="D122" s="60">
        <v>120.46341323852539</v>
      </c>
      <c r="E122" s="60">
        <v>97.976188659667969</v>
      </c>
      <c r="F122" s="61">
        <v>119.05232238769531</v>
      </c>
    </row>
    <row r="123" spans="1:15" ht="18" customHeight="1" x14ac:dyDescent="0.2">
      <c r="A123" s="195"/>
      <c r="B123" s="37" t="s">
        <v>56</v>
      </c>
      <c r="C123" s="60">
        <v>12.238095283508301</v>
      </c>
      <c r="D123" s="60">
        <v>11.341463088989258</v>
      </c>
      <c r="E123" s="60">
        <v>8.6904764175415039</v>
      </c>
      <c r="F123" s="61">
        <v>11.023255348205566</v>
      </c>
    </row>
    <row r="124" spans="1:15" ht="18" customHeight="1" x14ac:dyDescent="0.2">
      <c r="A124" s="195"/>
      <c r="B124" s="37" t="s">
        <v>57</v>
      </c>
      <c r="C124" s="60">
        <v>100.54095458984375</v>
      </c>
      <c r="D124" s="60">
        <v>95.814659118652344</v>
      </c>
      <c r="E124" s="60">
        <v>80.632278442382813</v>
      </c>
      <c r="F124" s="61">
        <v>94.059837341308594</v>
      </c>
    </row>
    <row r="125" spans="1:15" ht="18" customHeight="1" x14ac:dyDescent="0.2">
      <c r="A125" s="195"/>
      <c r="B125" s="37" t="s">
        <v>58</v>
      </c>
      <c r="C125" s="33">
        <v>50.869583129882813</v>
      </c>
      <c r="D125" s="33">
        <v>30.762532234191895</v>
      </c>
      <c r="E125" s="33">
        <v>15.223366737365723</v>
      </c>
      <c r="F125" s="62">
        <v>22.486833572387695</v>
      </c>
    </row>
    <row r="126" spans="1:15" ht="18" customHeight="1" x14ac:dyDescent="0.2">
      <c r="A126" s="195"/>
      <c r="B126" s="37" t="s">
        <v>63</v>
      </c>
      <c r="C126" s="33">
        <f ca="1">159.5876875*OFFSET($L$112,MATCH($N$1,$C$112:$C$113,0)-1,0)</f>
        <v>159.58768749999999</v>
      </c>
      <c r="D126" s="33">
        <f ca="1">76.330076171875*OFFSET($L$112,MATCH($N$1,$C$112:$C$113,0)-1,0)</f>
        <v>76.330076171875007</v>
      </c>
      <c r="E126" s="33">
        <f ca="1">38.31548046875*OFFSET($L$112,MATCH($N$1,$C$112:$C$113,0)-1,0)</f>
        <v>38.315480468750003</v>
      </c>
      <c r="F126" s="62">
        <f ca="1">51.5891953125*OFFSET($L$112,MATCH($N$1,$C$112:$C$113,0)-1,0)</f>
        <v>51.589195312500003</v>
      </c>
    </row>
    <row r="127" spans="1:15" ht="18" customHeight="1" x14ac:dyDescent="0.2">
      <c r="A127" s="195"/>
      <c r="B127" s="37" t="s">
        <v>60</v>
      </c>
      <c r="C127" s="60">
        <v>95.833335876464844</v>
      </c>
      <c r="D127" s="60">
        <v>93.365852355957031</v>
      </c>
      <c r="E127" s="60">
        <v>92.928573608398438</v>
      </c>
      <c r="F127" s="61">
        <v>69.081398010253906</v>
      </c>
    </row>
    <row r="128" spans="1:15" ht="18" customHeight="1" x14ac:dyDescent="0.2">
      <c r="A128" s="195"/>
      <c r="B128" s="37" t="s">
        <v>64</v>
      </c>
      <c r="C128" s="60">
        <v>22.238094329833984</v>
      </c>
      <c r="D128" s="60">
        <v>25.054268836975098</v>
      </c>
      <c r="E128" s="60">
        <v>33.666667938232422</v>
      </c>
      <c r="F128" s="61">
        <v>26.870588302612305</v>
      </c>
    </row>
    <row r="129" spans="1:15" ht="18" customHeight="1" x14ac:dyDescent="0.2">
      <c r="A129" s="195"/>
      <c r="B129" s="37" t="s">
        <v>65</v>
      </c>
      <c r="C129" s="63">
        <v>0.53081303834915161</v>
      </c>
      <c r="D129" s="63">
        <v>0.32948376154602899</v>
      </c>
      <c r="E129" s="63">
        <v>0.16381792724132538</v>
      </c>
      <c r="F129" s="64">
        <v>0.32551214098930359</v>
      </c>
    </row>
    <row r="130" spans="1:15" ht="18" customHeight="1" x14ac:dyDescent="0.2">
      <c r="A130" s="196"/>
      <c r="B130" s="39" t="s">
        <v>28</v>
      </c>
      <c r="C130" s="40">
        <f ca="1">3137.19275215078*OFFSET($L$112,MATCH($N$1,$C$112:$C$113,0)-1,0)</f>
        <v>3137.1927521507801</v>
      </c>
      <c r="D130" s="40">
        <f ca="1">2481.26765348126*OFFSET($L$112,MATCH($N$1,$C$112:$C$113,0)-1,0)</f>
        <v>2481.2676534812599</v>
      </c>
      <c r="E130" s="40">
        <f ca="1">2516.88612182644*OFFSET($L$112,MATCH($N$1,$C$112:$C$113,0)-1,0)</f>
        <v>2516.8861218264401</v>
      </c>
      <c r="F130" s="65">
        <f ca="1">2294*OFFSET($L$112,MATCH($N$1,$C$112:$C$113,0)-1,0)</f>
        <v>2294</v>
      </c>
    </row>
    <row r="131" spans="1:15" ht="18" customHeight="1" x14ac:dyDescent="0.2">
      <c r="A131" s="205" t="s">
        <v>29</v>
      </c>
      <c r="B131" s="35" t="s">
        <v>66</v>
      </c>
      <c r="C131" s="66">
        <v>4.0365132829500681</v>
      </c>
      <c r="D131" s="66">
        <v>2.6830062543746749</v>
      </c>
      <c r="E131" s="66">
        <v>1.6135767157982572</v>
      </c>
      <c r="F131" s="67">
        <v>2.6325882517044672</v>
      </c>
    </row>
    <row r="132" spans="1:15" ht="18" customHeight="1" x14ac:dyDescent="0.2">
      <c r="A132" s="206"/>
      <c r="B132" s="37" t="s">
        <v>67</v>
      </c>
      <c r="C132" s="63">
        <f ca="1">12.6633202152313*OFFSET($L$112,MATCH($N$1,$C$112:$C$113,0)-1,0)</f>
        <v>12.6633202152313</v>
      </c>
      <c r="D132" s="63">
        <f ca="1">6.6572566330678*OFFSET($L$112,MATCH($N$1,$C$112:$C$113,0)-1,0)</f>
        <v>6.6572566330678002</v>
      </c>
      <c r="E132" s="63">
        <f ca="1">4.06118884249492*OFFSET($L$112,MATCH($N$1,$C$112:$C$113,0)-1,0)</f>
        <v>4.0611888424949196</v>
      </c>
      <c r="F132" s="64">
        <f ca="1">6.03967246243793*OFFSET($L$112,MATCH($N$1,$C$112:$C$113,0)-1,0)</f>
        <v>6.0396724624379301</v>
      </c>
    </row>
    <row r="133" spans="1:15" ht="18" customHeight="1" x14ac:dyDescent="0.2">
      <c r="A133" s="206"/>
      <c r="B133" s="37" t="s">
        <v>11</v>
      </c>
      <c r="C133" s="63">
        <f ca="1">9.00905197083817*OFFSET($L$112,MATCH($N$1,$C$112:$C$113,0)-1,0)</f>
        <v>9.0090519708381702</v>
      </c>
      <c r="D133" s="63">
        <f ca="1">5.16188865699243*OFFSET($L$112,MATCH($N$1,$C$112:$C$113,0)-1,0)</f>
        <v>5.1618886569924296</v>
      </c>
      <c r="E133" s="63">
        <f ca="1">3.61289525893706*OFFSET($L$112,MATCH($N$1,$C$112:$C$113,0)-1,0)</f>
        <v>3.6128952589370602</v>
      </c>
      <c r="F133" s="64">
        <f ca="1">3.81800130380273*OFFSET($L$112,MATCH($N$1,$C$112:$C$113,0)-1,0)</f>
        <v>3.8180013038027298</v>
      </c>
    </row>
    <row r="134" spans="1:15" ht="18" customHeight="1" x14ac:dyDescent="0.2">
      <c r="A134" s="207"/>
      <c r="B134" s="39" t="s">
        <v>12</v>
      </c>
      <c r="C134" s="68">
        <f ca="1">3.65426824439314*OFFSET($L$112,MATCH($N$1,$C$112:$C$113,0)-1,0)</f>
        <v>3.65426824439314</v>
      </c>
      <c r="D134" s="68">
        <f ca="1">1.49536797607537*OFFSET($L$112,MATCH($N$1,$C$112:$C$113,0)-1,0)</f>
        <v>1.49536797607537</v>
      </c>
      <c r="E134" s="68">
        <f ca="1">0.448293583557853*OFFSET($L$112,MATCH($N$1,$C$112:$C$113,0)-1,0)</f>
        <v>0.44829358355785298</v>
      </c>
      <c r="F134" s="69">
        <f ca="1">2.2216711586352*OFFSET($L$112,MATCH($N$1,$C$112:$C$113,0)-1,0)</f>
        <v>2.2216711586351998</v>
      </c>
    </row>
    <row r="135" spans="1:15" ht="18" customHeight="1" x14ac:dyDescent="0.2">
      <c r="A135" s="208" t="s">
        <v>49</v>
      </c>
      <c r="B135" s="37" t="s">
        <v>109</v>
      </c>
      <c r="C135" s="70">
        <f ca="1">10.2039423828125*OFFSET($L$112,MATCH($N$1,$C$112:$C$113,0)-1,0)</f>
        <v>10.2039423828125</v>
      </c>
      <c r="D135" s="70">
        <f ca="1">9.76171875*OFFSET($L$112,MATCH($N$1,$C$112:$C$113,0)-1,0)</f>
        <v>9.76171875</v>
      </c>
      <c r="E135" s="70">
        <f ca="1">9.2771630859375*OFFSET($L$112,MATCH($N$1,$C$112:$C$113,0)-1,0)</f>
        <v>9.2771630859375005</v>
      </c>
      <c r="F135" s="71">
        <f ca="1">5.11417724609375*OFFSET($L$112,MATCH($N$1,$C$112:$C$113,0)-1,0)</f>
        <v>5.1141772460937496</v>
      </c>
    </row>
    <row r="136" spans="1:15" ht="18" customHeight="1" x14ac:dyDescent="0.2">
      <c r="A136" s="209"/>
      <c r="B136" s="37" t="s">
        <v>110</v>
      </c>
      <c r="C136" s="31">
        <v>19611.428844810463</v>
      </c>
      <c r="D136" s="31">
        <v>18728.536074023345</v>
      </c>
      <c r="E136" s="31">
        <v>17782.380837261444</v>
      </c>
      <c r="F136" s="72">
        <v>13905.348837209302</v>
      </c>
    </row>
    <row r="137" spans="1:15" ht="18" customHeight="1" x14ac:dyDescent="0.2">
      <c r="A137" s="209"/>
      <c r="B137" s="37" t="s">
        <v>111</v>
      </c>
      <c r="C137" s="31">
        <v>204.6409912109375</v>
      </c>
      <c r="D137" s="31">
        <v>200.59299627684925</v>
      </c>
      <c r="E137" s="31">
        <v>191.35536193847656</v>
      </c>
      <c r="F137" s="72">
        <v>201.28935241699219</v>
      </c>
    </row>
    <row r="138" spans="1:15" ht="18" customHeight="1" x14ac:dyDescent="0.2">
      <c r="A138" s="209"/>
      <c r="B138" s="37" t="s">
        <v>112</v>
      </c>
      <c r="C138" s="31">
        <f ca="1">106.47591769075*OFFSET($L$112,MATCH($N$1,$C$112:$C$113,0)-1,0)</f>
        <v>106.47591769074999</v>
      </c>
      <c r="D138" s="31">
        <f ca="1">104.553415447689*OFFSET($L$112,MATCH($N$1,$C$112:$C$113,0)-1,0)</f>
        <v>104.55341544768901</v>
      </c>
      <c r="E138" s="31">
        <f ca="1">99.831114647595*OFFSET($L$112,MATCH($N$1,$C$112:$C$113,0)-1,0)</f>
        <v>99.831114647595001</v>
      </c>
      <c r="F138" s="72">
        <f ca="1">74.0311776165074*OFFSET($L$112,MATCH($N$1,$C$112:$C$113,0)-1,0)</f>
        <v>74.031177616507406</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200.590249712864*OFFSET($L$112,MATCH($N$1,$C$112:$C$113,0)-1,0)</f>
        <v>200.59024971286399</v>
      </c>
      <c r="D139" s="31">
        <f ca="1">317.324941772838*OFFSET($L$112,MATCH($N$1,$C$112:$C$113,0)-1,0)</f>
        <v>317.32494177283797</v>
      </c>
      <c r="E139" s="31">
        <f ca="1">609.40285063006*OFFSET($L$112,MATCH($N$1,$C$112:$C$113,0)-1,0)</f>
        <v>609.40285063006002</v>
      </c>
      <c r="F139" s="72">
        <f ca="1">227.429852657139*OFFSET($L$112,MATCH($N$1,$C$112:$C$113,0)-1,0)</f>
        <v>227.42985265713901</v>
      </c>
      <c r="I139" s="48"/>
      <c r="K139" s="73" t="s">
        <v>114</v>
      </c>
      <c r="L139" s="74">
        <f t="shared" ref="L139:M141" ca="1" si="2">C140</f>
        <v>164.5331875</v>
      </c>
      <c r="M139" s="74">
        <f t="shared" ca="1" si="2"/>
        <v>78.695486328125</v>
      </c>
      <c r="N139" s="74">
        <f ca="1">E140</f>
        <v>39.502847656249997</v>
      </c>
      <c r="O139" s="74"/>
    </row>
    <row r="140" spans="1:15" ht="18" customHeight="1" x14ac:dyDescent="0.2">
      <c r="A140" s="187" t="s">
        <v>50</v>
      </c>
      <c r="B140" s="35" t="s">
        <v>115</v>
      </c>
      <c r="C140" s="75">
        <f ca="1">164.5331875*OFFSET($L$112,MATCH($N$1,$C$112:$C$113,0)-1,0)</f>
        <v>164.5331875</v>
      </c>
      <c r="D140" s="75">
        <f ca="1">78.695486328125*OFFSET($L$112,MATCH($N$1,$C$112:$C$113,0)-1,0)</f>
        <v>78.695486328125</v>
      </c>
      <c r="E140" s="75">
        <f ca="1">39.50284765625*OFFSET($L$112,MATCH($N$1,$C$112:$C$113,0)-1,0)</f>
        <v>39.502847656249997</v>
      </c>
      <c r="F140" s="76">
        <f ca="1">58.9957421875*OFFSET($L$112,MATCH($N$1,$C$112:$C$113,0)-1,0)</f>
        <v>58.995742187499999</v>
      </c>
      <c r="I140" s="48"/>
      <c r="K140" s="73" t="s">
        <v>116</v>
      </c>
      <c r="L140" s="74">
        <f t="shared" ca="1" si="2"/>
        <v>118.48078906249999</v>
      </c>
      <c r="M140" s="74">
        <f t="shared" ca="1" si="2"/>
        <v>61.550052734375001</v>
      </c>
      <c r="N140" s="74">
        <f ca="1">E141</f>
        <v>35.27340234375</v>
      </c>
      <c r="O140" s="74"/>
    </row>
    <row r="141" spans="1:15" ht="18" customHeight="1" x14ac:dyDescent="0.2">
      <c r="A141" s="188"/>
      <c r="B141" s="37" t="s">
        <v>117</v>
      </c>
      <c r="C141" s="31">
        <f ca="1">118.4807890625*OFFSET($L$112,MATCH($N$1,$C$112:$C$113,0)-1,0)</f>
        <v>118.48078906249999</v>
      </c>
      <c r="D141" s="31">
        <f ca="1">61.550052734375*OFFSET($L$112,MATCH($N$1,$C$112:$C$113,0)-1,0)</f>
        <v>61.550052734375001</v>
      </c>
      <c r="E141" s="31">
        <f ca="1">35.27340234375*OFFSET($L$112,MATCH($N$1,$C$112:$C$113,0)-1,0)</f>
        <v>35.27340234375</v>
      </c>
      <c r="F141" s="72">
        <f ca="1">40.01884765625*OFFSET($L$112,MATCH($N$1,$C$112:$C$113,0)-1,0)</f>
        <v>40.018847656250003</v>
      </c>
      <c r="I141" s="48"/>
      <c r="K141" s="73" t="s">
        <v>118</v>
      </c>
      <c r="L141" s="74">
        <f t="shared" ca="1" si="2"/>
        <v>46.052398437500003</v>
      </c>
      <c r="M141" s="74">
        <f t="shared" ca="1" si="2"/>
        <v>17.145433593749999</v>
      </c>
      <c r="N141" s="74">
        <f ca="1">E142</f>
        <v>4.2294453125000002</v>
      </c>
      <c r="O141" s="74"/>
    </row>
    <row r="142" spans="1:15" ht="18" customHeight="1" x14ac:dyDescent="0.2">
      <c r="A142" s="189"/>
      <c r="B142" s="39" t="s">
        <v>119</v>
      </c>
      <c r="C142" s="40">
        <f ca="1">46.0523984375*OFFSET($L$112,MATCH($N$1,$C$112:$C$113,0)-1,0)</f>
        <v>46.052398437500003</v>
      </c>
      <c r="D142" s="40">
        <f ca="1">17.14543359375*OFFSET($L$112,MATCH($N$1,$C$112:$C$113,0)-1,0)</f>
        <v>17.145433593749999</v>
      </c>
      <c r="E142" s="40">
        <f ca="1">4.2294453125*OFFSET($L$112,MATCH($N$1,$C$112:$C$113,0)-1,0)</f>
        <v>4.2294453125000002</v>
      </c>
      <c r="F142" s="65">
        <f ca="1">18.97689453125*OFFSET($L$112,MATCH($N$1,$C$112:$C$113,0)-1,0)</f>
        <v>18.97689453125</v>
      </c>
      <c r="I142" s="48"/>
      <c r="K142" s="73" t="s">
        <v>120</v>
      </c>
      <c r="L142" s="77">
        <f ca="1">IFERROR(L140/L$139,"")</f>
        <v>0.72010267875288081</v>
      </c>
      <c r="M142" s="77">
        <f t="shared" ref="M142:N143" ca="1" si="3">IFERROR(M140/M$139,"")</f>
        <v>0.78212939021354788</v>
      </c>
      <c r="N142" s="77">
        <f t="shared" ca="1" si="3"/>
        <v>0.89293315384996474</v>
      </c>
      <c r="O142" s="77"/>
    </row>
    <row r="143" spans="1:15" ht="18" customHeight="1" x14ac:dyDescent="0.2">
      <c r="I143" s="48"/>
      <c r="K143" s="73" t="s">
        <v>121</v>
      </c>
      <c r="L143" s="77">
        <f ca="1">IFERROR(L141/L$139,"")</f>
        <v>0.27989732124711925</v>
      </c>
      <c r="M143" s="77">
        <f t="shared" ca="1" si="3"/>
        <v>0.21787060978645212</v>
      </c>
      <c r="N143" s="77">
        <f t="shared" ca="1" si="3"/>
        <v>0.10706684615003528</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11</v>
      </c>
      <c r="B161" s="53"/>
      <c r="C161" s="78" t="s">
        <v>45</v>
      </c>
      <c r="D161" s="78" t="s">
        <v>122</v>
      </c>
      <c r="E161" s="78" t="s">
        <v>47</v>
      </c>
      <c r="F161" s="78" t="s">
        <v>123</v>
      </c>
      <c r="G161" s="79">
        <v>8</v>
      </c>
      <c r="H161" s="78"/>
      <c r="I161" s="78" t="s">
        <v>45</v>
      </c>
      <c r="J161" s="78" t="s">
        <v>122</v>
      </c>
      <c r="K161" s="78" t="s">
        <v>47</v>
      </c>
      <c r="L161" s="53" t="s">
        <v>123</v>
      </c>
      <c r="R161" s="21"/>
      <c r="S161" s="21"/>
    </row>
    <row r="162" spans="1:19" s="48" customFormat="1" x14ac:dyDescent="0.2">
      <c r="A162" s="49">
        <v>1</v>
      </c>
      <c r="B162" s="53" t="s">
        <v>102</v>
      </c>
      <c r="C162" s="53">
        <v>0.12736187716513264</v>
      </c>
      <c r="D162" s="53">
        <v>0.36944634376953794</v>
      </c>
      <c r="E162" s="53">
        <v>0.57600596623113176</v>
      </c>
      <c r="F162" s="49">
        <v>12153634</v>
      </c>
      <c r="G162" s="49">
        <v>1</v>
      </c>
      <c r="H162" s="53" t="s">
        <v>102</v>
      </c>
      <c r="I162" s="53">
        <v>0.11101893458658635</v>
      </c>
      <c r="J162" s="53">
        <v>0.35601221025287255</v>
      </c>
      <c r="K162" s="53">
        <v>0.58444002744735135</v>
      </c>
      <c r="L162" s="49">
        <v>12153634</v>
      </c>
      <c r="R162" s="21"/>
      <c r="S162" s="21"/>
    </row>
    <row r="163" spans="1:19" s="48" customFormat="1" x14ac:dyDescent="0.2">
      <c r="A163" s="49">
        <v>2</v>
      </c>
      <c r="B163" s="53" t="s">
        <v>100</v>
      </c>
      <c r="C163" s="53">
        <v>1.1589768522782486E-2</v>
      </c>
      <c r="D163" s="53">
        <v>8.410042659051542E-2</v>
      </c>
      <c r="E163" s="53">
        <v>8.0704253922796967E-2</v>
      </c>
      <c r="F163" s="49">
        <v>1692097</v>
      </c>
      <c r="G163" s="49">
        <v>2</v>
      </c>
      <c r="H163" s="53" t="s">
        <v>144</v>
      </c>
      <c r="I163" s="53">
        <v>2.4653442324369092E-2</v>
      </c>
      <c r="J163" s="53">
        <v>0.20726661408822819</v>
      </c>
      <c r="K163" s="53">
        <v>3.5085288177948308E-2</v>
      </c>
      <c r="L163" s="49">
        <v>553960</v>
      </c>
      <c r="N163" s="48" t="s">
        <v>124</v>
      </c>
      <c r="R163" s="21"/>
      <c r="S163" s="21"/>
    </row>
    <row r="164" spans="1:19" s="48" customFormat="1" x14ac:dyDescent="0.2">
      <c r="A164" s="49">
        <v>3</v>
      </c>
      <c r="B164" s="53" t="s">
        <v>128</v>
      </c>
      <c r="C164" s="53">
        <v>0</v>
      </c>
      <c r="D164" s="53">
        <v>8.2563985846390339E-2</v>
      </c>
      <c r="E164" s="53">
        <v>5.2548290674780743E-2</v>
      </c>
      <c r="F164" s="49">
        <v>3689192</v>
      </c>
      <c r="G164" s="49">
        <v>3</v>
      </c>
      <c r="H164" s="53" t="s">
        <v>145</v>
      </c>
      <c r="I164" s="53">
        <v>4.6577803644450499E-3</v>
      </c>
      <c r="J164" s="53">
        <v>9.3912215515443487E-2</v>
      </c>
      <c r="K164" s="53">
        <v>4.8109032932809742E-2</v>
      </c>
      <c r="L164" s="49">
        <v>3050596</v>
      </c>
      <c r="N164" s="48" t="s">
        <v>125</v>
      </c>
      <c r="R164" s="21"/>
      <c r="S164" s="21"/>
    </row>
    <row r="165" spans="1:19" s="48" customFormat="1" x14ac:dyDescent="0.2">
      <c r="A165" s="49">
        <v>4</v>
      </c>
      <c r="B165" s="53" t="s">
        <v>145</v>
      </c>
      <c r="C165" s="53">
        <v>0</v>
      </c>
      <c r="D165" s="53">
        <v>8.0959937075916574E-2</v>
      </c>
      <c r="E165" s="53">
        <v>4.6120046536602829E-2</v>
      </c>
      <c r="F165" s="49">
        <v>3050596</v>
      </c>
      <c r="G165" s="49">
        <v>4</v>
      </c>
      <c r="H165" s="53" t="s">
        <v>100</v>
      </c>
      <c r="I165" s="53">
        <v>9.211473911014182E-3</v>
      </c>
      <c r="J165" s="53">
        <v>7.1095068844071976E-2</v>
      </c>
      <c r="K165" s="53">
        <v>7.7544058508936808E-2</v>
      </c>
      <c r="L165" s="49">
        <v>1692097</v>
      </c>
      <c r="R165" s="21"/>
      <c r="S165" s="21"/>
    </row>
    <row r="166" spans="1:19" s="48" customFormat="1" x14ac:dyDescent="0.2">
      <c r="A166" s="49">
        <v>5</v>
      </c>
      <c r="B166" s="53" t="s">
        <v>103</v>
      </c>
      <c r="C166" s="53">
        <v>0</v>
      </c>
      <c r="D166" s="53">
        <v>6.3975050047909821E-2</v>
      </c>
      <c r="E166" s="53">
        <v>0</v>
      </c>
      <c r="F166" s="49">
        <v>2480382</v>
      </c>
      <c r="G166" s="49">
        <v>5</v>
      </c>
      <c r="H166" s="53" t="s">
        <v>128</v>
      </c>
      <c r="I166" s="53">
        <v>0</v>
      </c>
      <c r="J166" s="53">
        <v>5.5632296644887634E-2</v>
      </c>
      <c r="K166" s="53">
        <v>2.9032872018496258E-2</v>
      </c>
      <c r="L166" s="49">
        <v>3689192</v>
      </c>
      <c r="R166" s="21"/>
      <c r="S166" s="21"/>
    </row>
    <row r="167" spans="1:19" s="48" customFormat="1" x14ac:dyDescent="0.2">
      <c r="A167" s="49">
        <v>6</v>
      </c>
      <c r="B167" s="53" t="s">
        <v>127</v>
      </c>
      <c r="C167" s="53">
        <v>0</v>
      </c>
      <c r="D167" s="53">
        <v>0</v>
      </c>
      <c r="E167" s="53">
        <v>9.0758033530218954E-2</v>
      </c>
      <c r="F167" s="49">
        <v>11115023</v>
      </c>
      <c r="G167" s="49">
        <v>6</v>
      </c>
      <c r="H167" s="53" t="s">
        <v>106</v>
      </c>
      <c r="I167" s="53">
        <v>4.7845342792947254E-3</v>
      </c>
      <c r="J167" s="53">
        <v>0</v>
      </c>
      <c r="K167" s="53">
        <v>0</v>
      </c>
      <c r="L167" s="49">
        <v>7434864</v>
      </c>
      <c r="R167" s="21"/>
      <c r="S167" s="21"/>
    </row>
    <row r="168" spans="1:19" s="48" customFormat="1" x14ac:dyDescent="0.2">
      <c r="A168" s="49">
        <v>7</v>
      </c>
      <c r="B168" s="53" t="s">
        <v>106</v>
      </c>
      <c r="C168" s="53">
        <v>1.294233989559827E-2</v>
      </c>
      <c r="D168" s="53">
        <v>0</v>
      </c>
      <c r="E168" s="53">
        <v>0</v>
      </c>
      <c r="F168" s="49">
        <v>7434864</v>
      </c>
      <c r="G168" s="49">
        <v>7</v>
      </c>
      <c r="H168" s="53" t="s">
        <v>107</v>
      </c>
      <c r="I168" s="53">
        <v>0.84567383453429057</v>
      </c>
      <c r="J168" s="53">
        <v>0.21608159465449606</v>
      </c>
      <c r="K168" s="53">
        <v>0.22578872091445745</v>
      </c>
      <c r="L168" s="49">
        <v>5920853</v>
      </c>
      <c r="R168" s="21"/>
      <c r="S168" s="21"/>
    </row>
    <row r="169" spans="1:19" s="48" customFormat="1" x14ac:dyDescent="0.2">
      <c r="A169" s="49">
        <v>8</v>
      </c>
      <c r="B169" s="53" t="s">
        <v>144</v>
      </c>
      <c r="C169" s="53">
        <v>9.8825081308886245E-3</v>
      </c>
      <c r="D169" s="53">
        <v>0</v>
      </c>
      <c r="E169" s="53">
        <v>0</v>
      </c>
      <c r="F169" s="49">
        <v>553960</v>
      </c>
      <c r="G169" s="49">
        <v>8</v>
      </c>
      <c r="H169" s="53"/>
      <c r="I169" s="53">
        <v>0</v>
      </c>
      <c r="J169" s="53">
        <v>0</v>
      </c>
      <c r="K169" s="53">
        <v>0</v>
      </c>
      <c r="L169" s="49"/>
      <c r="R169" s="21"/>
      <c r="S169" s="21"/>
    </row>
    <row r="170" spans="1:19" s="48" customFormat="1" x14ac:dyDescent="0.2">
      <c r="A170" s="49">
        <v>9</v>
      </c>
      <c r="B170" s="53" t="s">
        <v>105</v>
      </c>
      <c r="C170" s="53">
        <v>8.676295324376233E-3</v>
      </c>
      <c r="D170" s="53">
        <v>0</v>
      </c>
      <c r="E170" s="53">
        <v>0</v>
      </c>
      <c r="F170" s="49">
        <v>8497745</v>
      </c>
      <c r="G170" s="49">
        <v>9</v>
      </c>
      <c r="H170" s="53"/>
      <c r="I170" s="53">
        <v>0</v>
      </c>
      <c r="J170" s="53">
        <v>0</v>
      </c>
      <c r="K170" s="53">
        <v>0</v>
      </c>
      <c r="L170" s="49"/>
      <c r="R170" s="21"/>
      <c r="S170" s="21"/>
    </row>
    <row r="171" spans="1:19" s="48" customFormat="1" x14ac:dyDescent="0.2">
      <c r="A171" s="49">
        <v>10</v>
      </c>
      <c r="B171" s="53" t="s">
        <v>107</v>
      </c>
      <c r="C171" s="53">
        <v>0.82954721096122175</v>
      </c>
      <c r="D171" s="53">
        <v>0.31895425666972999</v>
      </c>
      <c r="E171" s="53">
        <v>0.15386340910446872</v>
      </c>
      <c r="F171" s="49">
        <v>5920853</v>
      </c>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F7F65684-D584-4775-A337-514EFFAA03C5}">
      <formula1>$C$112:$C$113</formula1>
    </dataValidation>
  </dataValidations>
  <hyperlinks>
    <hyperlink ref="O1:P1" location="Home_page" display="Back to home page" xr:uid="{2AF4AF8E-92B1-4916-96AA-2F60BBA2C1D0}"/>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B80F5A8E-E9DA-47B7-82A6-FE83FB0C93B0}">
          <x14:colorSeries rgb="FF323232"/>
          <x14:colorNegative rgb="FFD00000"/>
          <x14:colorAxis rgb="FF000000"/>
          <x14:colorMarkers rgb="FFD00000"/>
          <x14:colorFirst rgb="FFD00000"/>
          <x14:colorLast rgb="FFD00000"/>
          <x14:colorHigh rgb="FFD00000"/>
          <x14:colorLow rgb="FFD00000"/>
          <x14:sparklines>
            <x14:sparkline>
              <xm:f>'U10m demersal trawl-seine'!D3:N3</xm:f>
              <xm:sqref>C3</xm:sqref>
            </x14:sparkline>
            <x14:sparkline>
              <xm:f>'U10m demersal trawl-seine'!D4:N4</xm:f>
              <xm:sqref>C4</xm:sqref>
            </x14:sparkline>
            <x14:sparkline>
              <xm:f>'U10m demersal trawl-seine'!D5:N5</xm:f>
              <xm:sqref>C5</xm:sqref>
            </x14:sparkline>
            <x14:sparkline>
              <xm:f>'U10m demersal trawl-seine'!D6:N6</xm:f>
              <xm:sqref>C6</xm:sqref>
            </x14:sparkline>
            <x14:sparkline>
              <xm:f>'U10m demersal trawl-seine'!D7:N7</xm:f>
              <xm:sqref>C7</xm:sqref>
            </x14:sparkline>
            <x14:sparkline>
              <xm:f>'U10m demersal trawl-seine'!D8:N8</xm:f>
              <xm:sqref>C8</xm:sqref>
            </x14:sparkline>
            <x14:sparkline>
              <xm:f>'U10m demersal trawl-seine'!D9:N9</xm:f>
              <xm:sqref>C9</xm:sqref>
            </x14:sparkline>
            <x14:sparkline>
              <xm:f>'U10m demersal trawl-seine'!D10:N10</xm:f>
              <xm:sqref>C10</xm:sqref>
            </x14:sparkline>
            <x14:sparkline>
              <xm:f>'U10m demersal trawl-seine'!D11:N11</xm:f>
              <xm:sqref>C11</xm:sqref>
            </x14:sparkline>
            <x14:sparkline>
              <xm:f>'U10m demersal trawl-seine'!D12:N12</xm:f>
              <xm:sqref>C12</xm:sqref>
            </x14:sparkline>
            <x14:sparkline>
              <xm:f>'U10m demersal trawl-seine'!D13:N13</xm:f>
              <xm:sqref>C13</xm:sqref>
            </x14:sparkline>
            <x14:sparkline>
              <xm:f>'U10m demersal trawl-seine'!D14:N14</xm:f>
              <xm:sqref>C14</xm:sqref>
            </x14:sparkline>
            <x14:sparkline>
              <xm:f>'U10m demersal trawl-seine'!D15:N15</xm:f>
              <xm:sqref>C15</xm:sqref>
            </x14:sparkline>
            <x14:sparkline>
              <xm:f>'U10m demersal trawl-seine'!D16:N16</xm:f>
              <xm:sqref>C16</xm:sqref>
            </x14:sparkline>
            <x14:sparkline>
              <xm:f>'U10m demersal trawl-seine'!D17:N17</xm:f>
              <xm:sqref>C17</xm:sqref>
            </x14:sparkline>
            <x14:sparkline>
              <xm:f>'U10m demersal trawl-seine'!D18:N18</xm:f>
              <xm:sqref>C18</xm:sqref>
            </x14:sparkline>
            <x14:sparkline>
              <xm:f>'U10m demersal trawl-seine'!D19:N19</xm:f>
              <xm:sqref>C19</xm:sqref>
            </x14:sparkline>
            <x14:sparkline>
              <xm:f>'U10m demersal trawl-seine'!D20:N20</xm:f>
              <xm:sqref>C20</xm:sqref>
            </x14:sparkline>
            <x14:sparkline>
              <xm:f>'U10m demersal trawl-seine'!D21:N21</xm:f>
              <xm:sqref>C21</xm:sqref>
            </x14:sparkline>
            <x14:sparkline>
              <xm:f>'U10m demersal trawl-seine'!D22:N22</xm:f>
              <xm:sqref>C22</xm:sqref>
            </x14:sparkline>
            <x14:sparkline>
              <xm:f>'U10m demersal trawl-seine'!D23:N23</xm:f>
              <xm:sqref>C23</xm:sqref>
            </x14:sparkline>
            <x14:sparkline>
              <xm:f>'U10m demersal trawl-seine'!D24:N24</xm:f>
              <xm:sqref>C24</xm:sqref>
            </x14:sparkline>
            <x14:sparkline>
              <xm:f>'U10m demersal trawl-seine'!D25:N25</xm:f>
              <xm:sqref>C25</xm:sqref>
            </x14:sparkline>
            <x14:sparkline>
              <xm:f>'U10m demersal trawl-seine'!D26:N26</xm:f>
              <xm:sqref>C26</xm:sqref>
            </x14:sparkline>
            <x14:sparkline>
              <xm:f>'U10m demersal trawl-seine'!D27:N27</xm:f>
              <xm:sqref>C27</xm:sqref>
            </x14:sparkline>
            <x14:sparkline>
              <xm:f>'U10m demersal trawl-seine'!D28:N28</xm:f>
              <xm:sqref>C28</xm:sqref>
            </x14:sparkline>
            <x14:sparkline>
              <xm:f>'U10m demersal trawl-seine'!D29:N29</xm:f>
              <xm:sqref>C29</xm:sqref>
            </x14:sparkline>
            <x14:sparkline>
              <xm:f>'U10m demersal trawl-seine'!D30:N30</xm:f>
              <xm:sqref>C30</xm:sqref>
            </x14:sparkline>
            <x14:sparkline>
              <xm:f>'U10m demersal trawl-seine'!D31:N31</xm:f>
              <xm:sqref>C31</xm:sqref>
            </x14:sparkline>
            <x14:sparkline>
              <xm:f>'U10m demersal trawl-seine'!D32:N32</xm:f>
              <xm:sqref>C32</xm:sqref>
            </x14:sparkline>
            <x14:sparkline>
              <xm:f>'U10m demersal trawl-seine'!D33:N33</xm:f>
              <xm:sqref>C33</xm:sqref>
            </x14:sparkline>
            <x14:sparkline>
              <xm:f>'U10m demersal trawl-seine'!D34:N34</xm:f>
              <xm:sqref>C34</xm:sqref>
            </x14:sparkline>
            <x14:sparkline>
              <xm:f>'U10m demersal trawl-seine'!D35:N35</xm:f>
              <xm:sqref>C35</xm:sqref>
            </x14:sparkline>
            <x14:sparkline>
              <xm:f>'U10m demersal trawl-seine'!D36:N36</xm:f>
              <xm:sqref>C36</xm:sqref>
            </x14:sparkline>
            <x14:sparkline>
              <xm:f>'U10m demersal trawl-seine'!D37:N37</xm:f>
              <xm:sqref>C37</xm:sqref>
            </x14:sparkline>
            <x14:sparkline>
              <xm:f>'U10m demersal trawl-seine'!D38:N38</xm:f>
              <xm:sqref>C38</xm:sqref>
            </x14:sparkline>
            <x14:sparkline>
              <xm:f>'U10m demersal trawl-seine'!D39:N39</xm:f>
              <xm:sqref>C39</xm:sqref>
            </x14:sparkline>
            <x14:sparkline>
              <xm:f>'U10m demersal trawl-seine'!D40:N40</xm:f>
              <xm:sqref>C40</xm:sqref>
            </x14:sparkline>
            <x14:sparkline>
              <xm:f>'U10m demersal trawl-seine'!D41:N41</xm:f>
              <xm:sqref>C41</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C05B0-5CE7-42E2-9B8F-49BB3560CBFE}">
  <sheetPr codeName="Feuil34">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470</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287</v>
      </c>
      <c r="E3" s="28">
        <v>259</v>
      </c>
      <c r="F3" s="28">
        <v>251</v>
      </c>
      <c r="G3" s="28">
        <v>252</v>
      </c>
      <c r="H3" s="28">
        <v>224</v>
      </c>
      <c r="I3" s="28">
        <v>217</v>
      </c>
      <c r="J3" s="28">
        <v>187</v>
      </c>
      <c r="K3" s="28">
        <v>212</v>
      </c>
      <c r="L3" s="28">
        <v>203</v>
      </c>
      <c r="M3" s="28">
        <v>177</v>
      </c>
      <c r="N3" s="28">
        <v>203</v>
      </c>
      <c r="O3" s="29">
        <f t="shared" ref="O3:O41" si="0">IF(N3=0,"",IFERROR(IF(AND(N3&gt;0,D3&lt;0),"na",IF(AND(N3&lt;0,D3&lt;0),-1,1)*(N3-D3)/D3),""))</f>
        <v>-0.29268292682926828</v>
      </c>
      <c r="P3" s="29">
        <f t="shared" ref="P3:P41" si="1">IF(N3=0,"",IFERROR(IF(AND(N3&gt;0,J3&lt;0),"na",IF(AND(N3&lt;0,J3&lt;0),-1,1)*(N3-J3)/J3),""))</f>
        <v>8.5561497326203204E-2</v>
      </c>
    </row>
    <row r="4" spans="1:17" ht="18" customHeight="1" x14ac:dyDescent="0.2">
      <c r="A4" s="193"/>
      <c r="B4" s="30" t="s">
        <v>55</v>
      </c>
      <c r="C4" s="31"/>
      <c r="D4" s="31">
        <v>22078</v>
      </c>
      <c r="E4" s="31">
        <v>21656</v>
      </c>
      <c r="F4" s="31">
        <v>20543</v>
      </c>
      <c r="G4" s="31">
        <v>20817</v>
      </c>
      <c r="H4" s="31">
        <v>18282</v>
      </c>
      <c r="I4" s="31">
        <v>17615</v>
      </c>
      <c r="J4" s="31">
        <v>15113</v>
      </c>
      <c r="K4" s="31">
        <v>15990</v>
      </c>
      <c r="L4" s="31">
        <v>14978</v>
      </c>
      <c r="M4" s="31">
        <v>14045</v>
      </c>
      <c r="N4" s="31">
        <v>15267</v>
      </c>
      <c r="O4" s="29">
        <f t="shared" si="0"/>
        <v>-0.30849714648065946</v>
      </c>
      <c r="P4" s="29">
        <f t="shared" si="1"/>
        <v>1.0189902732746642E-2</v>
      </c>
    </row>
    <row r="5" spans="1:17" ht="18" customHeight="1" x14ac:dyDescent="0.2">
      <c r="A5" s="193"/>
      <c r="B5" s="30" t="s">
        <v>56</v>
      </c>
      <c r="C5" s="31"/>
      <c r="D5" s="31">
        <v>1365</v>
      </c>
      <c r="E5" s="31">
        <v>1265.9100341796875</v>
      </c>
      <c r="F5" s="31">
        <v>1263.449951171875</v>
      </c>
      <c r="G5" s="31">
        <v>1268.489990234375</v>
      </c>
      <c r="H5" s="31">
        <v>2774.469970703125</v>
      </c>
      <c r="I5" s="31">
        <v>1047.469970703125</v>
      </c>
      <c r="J5" s="31">
        <v>950</v>
      </c>
      <c r="K5" s="31">
        <v>1037.469970703125</v>
      </c>
      <c r="L5" s="31">
        <v>960.469970703125</v>
      </c>
      <c r="M5" s="31">
        <v>862.469970703125</v>
      </c>
      <c r="N5" s="31">
        <v>965.16998291015625</v>
      </c>
      <c r="O5" s="29">
        <f t="shared" si="0"/>
        <v>-0.29291576343578296</v>
      </c>
      <c r="P5" s="29">
        <f t="shared" si="1"/>
        <v>1.5968403063322367E-2</v>
      </c>
      <c r="Q5" s="32"/>
    </row>
    <row r="6" spans="1:17" ht="18" customHeight="1" x14ac:dyDescent="0.2">
      <c r="A6" s="193"/>
      <c r="B6" s="30" t="s">
        <v>57</v>
      </c>
      <c r="C6" s="31"/>
      <c r="D6" s="31">
        <v>17122.962890625</v>
      </c>
      <c r="E6" s="31">
        <v>16412.98828125</v>
      </c>
      <c r="F6" s="31">
        <v>15711.87890625</v>
      </c>
      <c r="G6" s="31">
        <v>15992.083984375</v>
      </c>
      <c r="H6" s="31">
        <v>14298.708984375</v>
      </c>
      <c r="I6" s="31">
        <v>13732.666015625</v>
      </c>
      <c r="J6" s="31">
        <v>11982.81640625</v>
      </c>
      <c r="K6" s="31">
        <v>12864.1982421875</v>
      </c>
      <c r="L6" s="31">
        <v>11978.71484375</v>
      </c>
      <c r="M6" s="31">
        <v>10638.6845703125</v>
      </c>
      <c r="N6" s="31">
        <v>11709.7021484375</v>
      </c>
      <c r="O6" s="29">
        <f t="shared" si="0"/>
        <v>-0.31614042363844147</v>
      </c>
      <c r="P6" s="29">
        <f t="shared" si="1"/>
        <v>-2.2792159084574558E-2</v>
      </c>
    </row>
    <row r="7" spans="1:17" ht="18" customHeight="1" x14ac:dyDescent="0.2">
      <c r="A7" s="193"/>
      <c r="B7" s="30" t="s">
        <v>58</v>
      </c>
      <c r="C7" s="31"/>
      <c r="D7" s="31">
        <v>5502.28369140625</v>
      </c>
      <c r="E7" s="31">
        <v>4756.46533203125</v>
      </c>
      <c r="F7" s="31">
        <v>4676.35693359375</v>
      </c>
      <c r="G7" s="31">
        <v>4682.63720703125</v>
      </c>
      <c r="H7" s="31">
        <v>3621.487548828125</v>
      </c>
      <c r="I7" s="31">
        <v>4013.001953125</v>
      </c>
      <c r="J7" s="31">
        <v>3218.959228515625</v>
      </c>
      <c r="K7" s="31">
        <v>3435.536376953125</v>
      </c>
      <c r="L7" s="31">
        <v>2763.284423828125</v>
      </c>
      <c r="M7" s="31">
        <v>3274.14111328125</v>
      </c>
      <c r="N7" s="31">
        <v>2515.307861328125</v>
      </c>
      <c r="O7" s="29">
        <f t="shared" si="0"/>
        <v>-0.54286110960496958</v>
      </c>
      <c r="P7" s="29">
        <f t="shared" si="1"/>
        <v>-0.21859592409686354</v>
      </c>
    </row>
    <row r="8" spans="1:17" ht="18" customHeight="1" x14ac:dyDescent="0.2">
      <c r="A8" s="193"/>
      <c r="B8" s="30" t="s">
        <v>59</v>
      </c>
      <c r="C8" s="33"/>
      <c r="D8" s="33">
        <f ca="1">14.464173*OFFSET(D$112,MATCH($N$1,$C$112:$C$113,0)-1,0)</f>
        <v>14.464173000000001</v>
      </c>
      <c r="E8" s="33">
        <f ca="1">12.46034*OFFSET(E$112,MATCH($N$1,$C$112:$C$113,0)-1,0)</f>
        <v>12.46034</v>
      </c>
      <c r="F8" s="33">
        <f ca="1">12.023717*OFFSET(F$112,MATCH($N$1,$C$112:$C$113,0)-1,0)</f>
        <v>12.023717</v>
      </c>
      <c r="G8" s="33">
        <f ca="1">13.079436*OFFSET(G$112,MATCH($N$1,$C$112:$C$113,0)-1,0)</f>
        <v>13.079435999999999</v>
      </c>
      <c r="H8" s="33">
        <f ca="1">9.854439*OFFSET(H$112,MATCH($N$1,$C$112:$C$113,0)-1,0)</f>
        <v>9.8544389999999993</v>
      </c>
      <c r="I8" s="33">
        <f ca="1">10.237032*OFFSET(I$112,MATCH($N$1,$C$112:$C$113,0)-1,0)</f>
        <v>10.237031999999999</v>
      </c>
      <c r="J8" s="33">
        <f ca="1">9.348992*OFFSET(J$112,MATCH($N$1,$C$112:$C$113,0)-1,0)</f>
        <v>9.3489920000000009</v>
      </c>
      <c r="K8" s="33">
        <f ca="1">10.539935*OFFSET(K$112,MATCH($N$1,$C$112:$C$113,0)-1,0)</f>
        <v>10.539935</v>
      </c>
      <c r="L8" s="33">
        <f ca="1">8.634568*OFFSET(L$112,MATCH($N$1,$C$112:$C$113,0)-1,0)</f>
        <v>8.6345679999999998</v>
      </c>
      <c r="M8" s="33">
        <f ca="1">7.289232*OFFSET(M$112,MATCH($N$1,$C$112:$C$113,0)-1,0)</f>
        <v>7.2892320000000002</v>
      </c>
      <c r="N8" s="33">
        <v>8.1159879999999998</v>
      </c>
      <c r="O8" s="29">
        <f t="shared" ca="1" si="0"/>
        <v>-0.43889028429070925</v>
      </c>
      <c r="P8" s="29">
        <f t="shared" ca="1" si="1"/>
        <v>-0.13188630389244113</v>
      </c>
    </row>
    <row r="9" spans="1:17" ht="18" customHeight="1" x14ac:dyDescent="0.2">
      <c r="A9" s="193"/>
      <c r="B9" s="30" t="s">
        <v>60</v>
      </c>
      <c r="C9" s="31"/>
      <c r="D9" s="31">
        <v>25303</v>
      </c>
      <c r="E9" s="31">
        <v>21949</v>
      </c>
      <c r="F9" s="31">
        <v>21404</v>
      </c>
      <c r="G9" s="31">
        <v>22392</v>
      </c>
      <c r="H9" s="31">
        <v>18087</v>
      </c>
      <c r="I9" s="31">
        <v>18201</v>
      </c>
      <c r="J9" s="31">
        <v>15652</v>
      </c>
      <c r="K9" s="31">
        <v>16570</v>
      </c>
      <c r="L9" s="31">
        <v>14145</v>
      </c>
      <c r="M9" s="31">
        <v>11258</v>
      </c>
      <c r="N9" s="31">
        <v>12519</v>
      </c>
      <c r="O9" s="29">
        <f t="shared" si="0"/>
        <v>-0.50523653321740503</v>
      </c>
      <c r="P9" s="29">
        <f t="shared" si="1"/>
        <v>-0.20016611295681064</v>
      </c>
    </row>
    <row r="10" spans="1:17" ht="18" customHeight="1" x14ac:dyDescent="0.2">
      <c r="A10" s="193"/>
      <c r="B10" s="30" t="s">
        <v>61</v>
      </c>
      <c r="C10" s="31"/>
      <c r="D10" s="31">
        <v>258.35140991210938</v>
      </c>
      <c r="E10" s="31">
        <v>185.880859375</v>
      </c>
      <c r="F10" s="31">
        <v>187.37997436523438</v>
      </c>
      <c r="G10" s="31">
        <v>176.63761901855469</v>
      </c>
      <c r="H10" s="31">
        <v>144.83082580566406</v>
      </c>
      <c r="I10" s="31">
        <v>157.30120849609375</v>
      </c>
      <c r="J10" s="31">
        <v>131.55499267578125</v>
      </c>
      <c r="K10" s="31">
        <v>113.99010467529297</v>
      </c>
      <c r="L10" s="31">
        <v>110.60069274902344</v>
      </c>
      <c r="M10" s="31">
        <v>47.841754913330078</v>
      </c>
      <c r="N10" s="31">
        <v>50.757755279541016</v>
      </c>
      <c r="O10" s="34">
        <f t="shared" si="0"/>
        <v>-0.80353211427486038</v>
      </c>
      <c r="P10" s="34">
        <f t="shared" si="1"/>
        <v>-0.61417081748745128</v>
      </c>
    </row>
    <row r="11" spans="1:17" ht="18" customHeight="1" x14ac:dyDescent="0.2">
      <c r="A11" s="194" t="s">
        <v>27</v>
      </c>
      <c r="B11" s="35" t="s">
        <v>62</v>
      </c>
      <c r="C11" s="36"/>
      <c r="D11" s="36">
        <v>7.8420209884643555</v>
      </c>
      <c r="E11" s="36">
        <v>7.9910812377929688</v>
      </c>
      <c r="F11" s="36">
        <v>8.0271310806274414</v>
      </c>
      <c r="G11" s="36">
        <v>8.0582542419433594</v>
      </c>
      <c r="H11" s="36">
        <v>8.0529909133911133</v>
      </c>
      <c r="I11" s="36">
        <v>8.0171890258789063</v>
      </c>
      <c r="J11" s="36">
        <v>8.1470584869384766</v>
      </c>
      <c r="K11" s="36">
        <v>8.0342922210693359</v>
      </c>
      <c r="L11" s="36">
        <v>7.9965023994445801</v>
      </c>
      <c r="M11" s="36">
        <v>8.0400562286376953</v>
      </c>
      <c r="N11" s="36">
        <v>7.7647781372070313</v>
      </c>
      <c r="O11" s="29">
        <f t="shared" si="0"/>
        <v>-9.8498654072653926E-3</v>
      </c>
      <c r="P11" s="29">
        <f t="shared" si="1"/>
        <v>-4.6922499739547055E-2</v>
      </c>
    </row>
    <row r="12" spans="1:17" ht="18" customHeight="1" x14ac:dyDescent="0.2">
      <c r="A12" s="195"/>
      <c r="B12" s="37" t="s">
        <v>55</v>
      </c>
      <c r="C12" s="31"/>
      <c r="D12" s="31">
        <v>77.19580078125</v>
      </c>
      <c r="E12" s="31">
        <v>83.93798828125</v>
      </c>
      <c r="F12" s="31">
        <v>81.844619750976563</v>
      </c>
      <c r="G12" s="31">
        <v>82.607139587402344</v>
      </c>
      <c r="H12" s="31">
        <v>81.616073608398438</v>
      </c>
      <c r="I12" s="31">
        <v>81.175117492675781</v>
      </c>
      <c r="J12" s="31">
        <v>80.818183898925781</v>
      </c>
      <c r="K12" s="31">
        <v>75.424530029296875</v>
      </c>
      <c r="L12" s="31">
        <v>73.783248901367188</v>
      </c>
      <c r="M12" s="31">
        <v>79.35028076171875</v>
      </c>
      <c r="N12" s="31">
        <v>75.206893920898438</v>
      </c>
      <c r="O12" s="29">
        <f t="shared" si="0"/>
        <v>-2.5764443664332656E-2</v>
      </c>
      <c r="P12" s="29">
        <f t="shared" si="1"/>
        <v>-6.9431032811192978E-2</v>
      </c>
    </row>
    <row r="13" spans="1:17" ht="18" customHeight="1" x14ac:dyDescent="0.2">
      <c r="A13" s="195"/>
      <c r="B13" s="37" t="s">
        <v>56</v>
      </c>
      <c r="C13" s="31"/>
      <c r="D13" s="31">
        <v>4.7727274894714355</v>
      </c>
      <c r="E13" s="31">
        <v>4.9066281318664551</v>
      </c>
      <c r="F13" s="31">
        <v>5.053800106048584</v>
      </c>
      <c r="G13" s="31">
        <v>5.0537447929382324</v>
      </c>
      <c r="H13" s="31">
        <v>12.441569328308105</v>
      </c>
      <c r="I13" s="31">
        <v>4.849398136138916</v>
      </c>
      <c r="J13" s="31">
        <v>5.0802140235900879</v>
      </c>
      <c r="K13" s="31">
        <v>4.8937263488769531</v>
      </c>
      <c r="L13" s="31">
        <v>4.731379508972168</v>
      </c>
      <c r="M13" s="31">
        <v>4.8727116584777832</v>
      </c>
      <c r="N13" s="31">
        <v>4.7545318603515625</v>
      </c>
      <c r="O13" s="29">
        <f t="shared" si="0"/>
        <v>-3.8124173567446137E-3</v>
      </c>
      <c r="P13" s="29">
        <f t="shared" si="1"/>
        <v>-6.4107961146166861E-2</v>
      </c>
    </row>
    <row r="14" spans="1:17" ht="18" customHeight="1" x14ac:dyDescent="0.2">
      <c r="A14" s="195"/>
      <c r="B14" s="37" t="s">
        <v>57</v>
      </c>
      <c r="C14" s="31"/>
      <c r="D14" s="31">
        <v>59.870494842529297</v>
      </c>
      <c r="E14" s="31">
        <v>63.616230010986328</v>
      </c>
      <c r="F14" s="31">
        <v>62.597126007080078</v>
      </c>
      <c r="G14" s="31">
        <v>63.460651397705078</v>
      </c>
      <c r="H14" s="31">
        <v>63.833522796630859</v>
      </c>
      <c r="I14" s="31">
        <v>63.284175872802734</v>
      </c>
      <c r="J14" s="31">
        <v>64.079231262207031</v>
      </c>
      <c r="K14" s="31">
        <v>60.680183410644531</v>
      </c>
      <c r="L14" s="31">
        <v>59.595596313476563</v>
      </c>
      <c r="M14" s="31">
        <v>62.950794219970703</v>
      </c>
      <c r="N14" s="31">
        <v>60.049755096435547</v>
      </c>
      <c r="O14" s="29">
        <f t="shared" si="0"/>
        <v>2.9941334939311646E-3</v>
      </c>
      <c r="P14" s="29">
        <f t="shared" si="1"/>
        <v>-6.2882717011432207E-2</v>
      </c>
    </row>
    <row r="15" spans="1:17" ht="18" customHeight="1" x14ac:dyDescent="0.2">
      <c r="A15" s="195"/>
      <c r="B15" s="37" t="s">
        <v>58</v>
      </c>
      <c r="C15" s="33"/>
      <c r="D15" s="33">
        <v>19.171720504760742</v>
      </c>
      <c r="E15" s="33">
        <v>18.364730834960938</v>
      </c>
      <c r="F15" s="33">
        <v>18.630903244018555</v>
      </c>
      <c r="G15" s="33">
        <v>18.581892013549805</v>
      </c>
      <c r="H15" s="33">
        <v>16.167354583740234</v>
      </c>
      <c r="I15" s="33">
        <v>18.493095397949219</v>
      </c>
      <c r="J15" s="33">
        <v>17.213685989379883</v>
      </c>
      <c r="K15" s="33">
        <v>16.205360412597656</v>
      </c>
      <c r="L15" s="33">
        <v>13.612238883972168</v>
      </c>
      <c r="M15" s="33">
        <v>18.49797248840332</v>
      </c>
      <c r="N15" s="33">
        <v>12.390678405761719</v>
      </c>
      <c r="O15" s="29">
        <f t="shared" si="0"/>
        <v>-0.35370023766594905</v>
      </c>
      <c r="P15" s="29">
        <f t="shared" si="1"/>
        <v>-0.28018447568950405</v>
      </c>
    </row>
    <row r="16" spans="1:17" ht="18" customHeight="1" x14ac:dyDescent="0.2">
      <c r="A16" s="195"/>
      <c r="B16" s="37" t="s">
        <v>63</v>
      </c>
      <c r="C16" s="33"/>
      <c r="D16" s="33">
        <f ca="1">50.3978125*OFFSET(D$112,MATCH($N$1,$C$112:$C$113,0)-1,0)</f>
        <v>50.397812500000001</v>
      </c>
      <c r="E16" s="33">
        <f ca="1">48.10941796875*OFFSET(E$112,MATCH($N$1,$C$112:$C$113,0)-1,0)</f>
        <v>48.109417968750002</v>
      </c>
      <c r="F16" s="33">
        <f ca="1">47.9032578125*OFFSET(F$112,MATCH($N$1,$C$112:$C$113,0)-1,0)</f>
        <v>47.903257812500001</v>
      </c>
      <c r="G16" s="33">
        <f ca="1">51.9025234375*OFFSET(G$112,MATCH($N$1,$C$112:$C$113,0)-1,0)</f>
        <v>51.902523437500001</v>
      </c>
      <c r="H16" s="33">
        <f ca="1">43.99303125*OFFSET(H$112,MATCH($N$1,$C$112:$C$113,0)-1,0)</f>
        <v>43.993031250000001</v>
      </c>
      <c r="I16" s="33">
        <f ca="1">47.17526171875*OFFSET(I$112,MATCH($N$1,$C$112:$C$113,0)-1,0)</f>
        <v>47.175261718750001</v>
      </c>
      <c r="J16" s="33">
        <f ca="1">49.994609375*OFFSET(J$112,MATCH($N$1,$C$112:$C$113,0)-1,0)</f>
        <v>49.994609375000003</v>
      </c>
      <c r="K16" s="33">
        <f ca="1">49.71667578125*OFFSET(K$112,MATCH($N$1,$C$112:$C$113,0)-1,0)</f>
        <v>49.716675781249997</v>
      </c>
      <c r="L16" s="33">
        <f ca="1">42.5348203125*OFFSET(L$112,MATCH($N$1,$C$112:$C$113,0)-1,0)</f>
        <v>42.534820312500003</v>
      </c>
      <c r="M16" s="33">
        <f ca="1">41.1821015625*OFFSET(M$112,MATCH($N$1,$C$112:$C$113,0)-1,0)</f>
        <v>41.182101562500002</v>
      </c>
      <c r="N16" s="33">
        <v>39.980238281250003</v>
      </c>
      <c r="O16" s="29">
        <f t="shared" ca="1" si="0"/>
        <v>-0.20670687281814062</v>
      </c>
      <c r="P16" s="29">
        <f t="shared" ca="1" si="1"/>
        <v>-0.20030901769096982</v>
      </c>
    </row>
    <row r="17" spans="1:16" ht="18" customHeight="1" x14ac:dyDescent="0.2">
      <c r="A17" s="195"/>
      <c r="B17" s="37" t="s">
        <v>60</v>
      </c>
      <c r="C17" s="31"/>
      <c r="D17" s="31">
        <v>88.163764953613281</v>
      </c>
      <c r="E17" s="31">
        <v>84.745170593261719</v>
      </c>
      <c r="F17" s="31">
        <v>85.27490234375</v>
      </c>
      <c r="G17" s="31">
        <v>88.857139587402344</v>
      </c>
      <c r="H17" s="31">
        <v>80.745536804199219</v>
      </c>
      <c r="I17" s="31">
        <v>83.875579833984375</v>
      </c>
      <c r="J17" s="31">
        <v>83.700531005859375</v>
      </c>
      <c r="K17" s="31">
        <v>78.160377502441406</v>
      </c>
      <c r="L17" s="31">
        <v>69.679801940917969</v>
      </c>
      <c r="M17" s="31">
        <v>63.604518890380859</v>
      </c>
      <c r="N17" s="31">
        <v>61.669952392578125</v>
      </c>
      <c r="O17" s="29">
        <f t="shared" si="0"/>
        <v>-0.30050681904266091</v>
      </c>
      <c r="P17" s="29">
        <f t="shared" si="1"/>
        <v>-0.2632071547041801</v>
      </c>
    </row>
    <row r="18" spans="1:16" ht="18" customHeight="1" x14ac:dyDescent="0.2">
      <c r="A18" s="195"/>
      <c r="B18" s="37" t="s">
        <v>64</v>
      </c>
      <c r="C18" s="31"/>
      <c r="D18" s="31">
        <v>20.360139846801758</v>
      </c>
      <c r="E18" s="31">
        <v>20.825580596923828</v>
      </c>
      <c r="F18" s="31">
        <v>21.470119476318359</v>
      </c>
      <c r="G18" s="31">
        <v>22.023809432983398</v>
      </c>
      <c r="H18" s="31">
        <v>22.325893402099609</v>
      </c>
      <c r="I18" s="31">
        <v>22.322580337524414</v>
      </c>
      <c r="J18" s="31">
        <v>22.705883026123047</v>
      </c>
      <c r="K18" s="31">
        <v>24.622640609741211</v>
      </c>
      <c r="L18" s="31">
        <v>25.726367950439453</v>
      </c>
      <c r="M18" s="31">
        <v>26.201183319091797</v>
      </c>
      <c r="N18" s="31">
        <v>27.189743041992188</v>
      </c>
      <c r="O18" s="29">
        <f t="shared" si="0"/>
        <v>0.33543989611953712</v>
      </c>
      <c r="P18" s="29">
        <f t="shared" si="1"/>
        <v>0.19747569432602441</v>
      </c>
    </row>
    <row r="19" spans="1:16" ht="18" customHeight="1" x14ac:dyDescent="0.2">
      <c r="A19" s="195"/>
      <c r="B19" s="37" t="s">
        <v>65</v>
      </c>
      <c r="C19" s="38"/>
      <c r="D19" s="38">
        <v>0.21745578944683075</v>
      </c>
      <c r="E19" s="38">
        <v>0.21670533716678619</v>
      </c>
      <c r="F19" s="38">
        <v>0.21848049759864807</v>
      </c>
      <c r="G19" s="38">
        <v>0.209120973944664</v>
      </c>
      <c r="H19" s="38">
        <v>0.20022597908973694</v>
      </c>
      <c r="I19" s="38">
        <v>0.2204824686050415</v>
      </c>
      <c r="J19" s="38">
        <v>0.20565803349018097</v>
      </c>
      <c r="K19" s="38">
        <v>0.2073347270488739</v>
      </c>
      <c r="L19" s="38">
        <v>0.1953541487455368</v>
      </c>
      <c r="M19" s="38">
        <v>0.29082795977592468</v>
      </c>
      <c r="N19" s="38">
        <v>0.20091921091079712</v>
      </c>
      <c r="O19" s="29">
        <f t="shared" si="0"/>
        <v>-7.6045703717982291E-2</v>
      </c>
      <c r="P19" s="29">
        <f t="shared" si="1"/>
        <v>-2.3042243956933016E-2</v>
      </c>
    </row>
    <row r="20" spans="1:16" ht="18" customHeight="1" x14ac:dyDescent="0.2">
      <c r="A20" s="196"/>
      <c r="B20" s="39" t="s">
        <v>28</v>
      </c>
      <c r="C20" s="40"/>
      <c r="D20" s="40">
        <f ca="1">2629*OFFSET(D$112,MATCH($N$1,$C$112:$C$113,0)-1,0)</f>
        <v>2629</v>
      </c>
      <c r="E20" s="40">
        <f ca="1">2620*OFFSET(E$112,MATCH($N$1,$C$112:$C$113,0)-1,0)</f>
        <v>2620</v>
      </c>
      <c r="F20" s="40">
        <f ca="1">2571*OFFSET(F$112,MATCH($N$1,$C$112:$C$113,0)-1,0)</f>
        <v>2571</v>
      </c>
      <c r="G20" s="40">
        <f ca="1">2793*OFFSET(G$112,MATCH($N$1,$C$112:$C$113,0)-1,0)</f>
        <v>2793</v>
      </c>
      <c r="H20" s="40">
        <f ca="1">2721*OFFSET(H$112,MATCH($N$1,$C$112:$C$113,0)-1,0)</f>
        <v>2721</v>
      </c>
      <c r="I20" s="40">
        <f ca="1">2551*OFFSET(I$112,MATCH($N$1,$C$112:$C$113,0)-1,0)</f>
        <v>2551</v>
      </c>
      <c r="J20" s="40">
        <f ca="1">2904*OFFSET(J$112,MATCH($N$1,$C$112:$C$113,0)-1,0)</f>
        <v>2904</v>
      </c>
      <c r="K20" s="40">
        <f ca="1">3068*OFFSET(K$112,MATCH($N$1,$C$112:$C$113,0)-1,0)</f>
        <v>3068</v>
      </c>
      <c r="L20" s="40">
        <f ca="1">3125*OFFSET(L$112,MATCH($N$1,$C$112:$C$113,0)-1,0)</f>
        <v>3125</v>
      </c>
      <c r="M20" s="40">
        <f ca="1">2226*OFFSET(M$112,MATCH($N$1,$C$112:$C$113,0)-1,0)</f>
        <v>2226</v>
      </c>
      <c r="N20" s="40">
        <v>3227</v>
      </c>
      <c r="O20" s="34">
        <f t="shared" ca="1" si="0"/>
        <v>0.22746291365538227</v>
      </c>
      <c r="P20" s="34">
        <f t="shared" ca="1" si="1"/>
        <v>0.11122589531680441</v>
      </c>
    </row>
    <row r="21" spans="1:16" ht="18" customHeight="1" x14ac:dyDescent="0.2">
      <c r="A21" s="197" t="s">
        <v>29</v>
      </c>
      <c r="B21" s="35" t="s">
        <v>66</v>
      </c>
      <c r="C21" s="41"/>
      <c r="D21" s="41">
        <v>2.5747653644675843</v>
      </c>
      <c r="E21" s="41">
        <v>2.4833358819718883</v>
      </c>
      <c r="F21" s="41">
        <v>2.6762825742437659</v>
      </c>
      <c r="G21" s="41">
        <v>2.5586458683301396</v>
      </c>
      <c r="H21" s="41">
        <v>2.3211940517843908</v>
      </c>
      <c r="I21" s="41">
        <v>2.600185638249632</v>
      </c>
      <c r="J21" s="41">
        <v>2.5262490679817096</v>
      </c>
      <c r="K21" s="41">
        <v>2.5689231296350865</v>
      </c>
      <c r="L21" s="41">
        <v>2.6046803593253252</v>
      </c>
      <c r="M21" s="41">
        <v>3.7220953638239056</v>
      </c>
      <c r="N21" s="41">
        <v>2.5461466394942405</v>
      </c>
      <c r="O21" s="29">
        <f t="shared" si="0"/>
        <v>-1.1115080763587045E-2</v>
      </c>
      <c r="P21" s="29">
        <f t="shared" si="1"/>
        <v>7.8763300755723305E-3</v>
      </c>
    </row>
    <row r="22" spans="1:16" ht="18" customHeight="1" x14ac:dyDescent="0.2">
      <c r="A22" s="197"/>
      <c r="B22" s="37" t="s">
        <v>67</v>
      </c>
      <c r="C22" s="38"/>
      <c r="D22" s="38">
        <f ca="1">6.76843489543407*OFFSET(D$112,MATCH($N$1,$C$112:$C$113,0)-1,0)</f>
        <v>6.7684348954340701</v>
      </c>
      <c r="E22" s="38">
        <f ca="1">6.50550476215755*OFFSET(E$112,MATCH($N$1,$C$112:$C$113,0)-1,0)</f>
        <v>6.5055047621575497</v>
      </c>
      <c r="F22" s="38">
        <f ca="1">6.8811829707859*OFFSET(F$112,MATCH($N$1,$C$112:$C$113,0)-1,0)</f>
        <v>6.8811829707858996</v>
      </c>
      <c r="G22" s="38">
        <f ca="1">7.14675217423664*OFFSET(G$112,MATCH($N$1,$C$112:$C$113,0)-1,0)</f>
        <v>7.1467521742366404</v>
      </c>
      <c r="H22" s="38">
        <f ca="1">6.31620726375142*OFFSET(H$112,MATCH($N$1,$C$112:$C$113,0)-1,0)</f>
        <v>6.3162072637514202</v>
      </c>
      <c r="I22" s="38">
        <f ca="1">6.6329857366855*OFFSET(I$112,MATCH($N$1,$C$112:$C$113,0)-1,0)</f>
        <v>6.6329857366854998</v>
      </c>
      <c r="J22" s="38">
        <f ca="1">7.33711742015187*OFFSET(J$112,MATCH($N$1,$C$112:$C$113,0)-1,0)</f>
        <v>7.3371174201518699</v>
      </c>
      <c r="K22" s="38">
        <f ca="1">7.8812389907562*OFFSET(K$112,MATCH($N$1,$C$112:$C$113,0)-1,0)</f>
        <v>7.8812389907562004</v>
      </c>
      <c r="L22" s="38">
        <f ca="1">8.1389705249627*OFFSET(L$112,MATCH($N$1,$C$112:$C$113,0)-1,0)</f>
        <v>8.1389705249626996</v>
      </c>
      <c r="M22" s="38">
        <f ca="1">8.28651407036109*OFFSET(M$112,MATCH($N$1,$C$112:$C$113,0)-1,0)</f>
        <v>8.2865140703610898</v>
      </c>
      <c r="N22" s="38">
        <v>8.2154944235053602</v>
      </c>
      <c r="O22" s="29">
        <f t="shared" ca="1" si="0"/>
        <v>0.21379529395303254</v>
      </c>
      <c r="P22" s="29">
        <f t="shared" ca="1" si="1"/>
        <v>0.11971690693418247</v>
      </c>
    </row>
    <row r="23" spans="1:16" ht="18" customHeight="1" x14ac:dyDescent="0.2">
      <c r="A23" s="197"/>
      <c r="B23" s="37" t="s">
        <v>11</v>
      </c>
      <c r="C23" s="38"/>
      <c r="D23" s="38">
        <f ca="1">5.08248306066945*OFFSET(D$112,MATCH($N$1,$C$112:$C$113,0)-1,0)</f>
        <v>5.0824830606694498</v>
      </c>
      <c r="E23" s="38">
        <f ca="1">4.57895256369599*OFFSET(E$112,MATCH($N$1,$C$112:$C$113,0)-1,0)</f>
        <v>4.5789525636959896</v>
      </c>
      <c r="F23" s="38">
        <f ca="1">4.83818058436474*OFFSET(F$112,MATCH($N$1,$C$112:$C$113,0)-1,0)</f>
        <v>4.8381805843647401</v>
      </c>
      <c r="G23" s="38">
        <f ca="1">5.01894276761955*OFFSET(G$112,MATCH($N$1,$C$112:$C$113,0)-1,0)</f>
        <v>5.0189427676195502</v>
      </c>
      <c r="H23" s="38">
        <f ca="1">4.75546621585149*OFFSET(H$112,MATCH($N$1,$C$112:$C$113,0)-1,0)</f>
        <v>4.7554662158514898</v>
      </c>
      <c r="I23" s="38">
        <f ca="1">4.6846024177546*OFFSET(I$112,MATCH($N$1,$C$112:$C$113,0)-1,0)</f>
        <v>4.6846024177545997</v>
      </c>
      <c r="J23" s="38">
        <f ca="1">4.87435386633971*OFFSET(J$112,MATCH($N$1,$C$112:$C$113,0)-1,0)</f>
        <v>4.8743538663397104</v>
      </c>
      <c r="K23" s="38">
        <f ca="1">5.54930980405839*OFFSET(K$112,MATCH($N$1,$C$112:$C$113,0)-1,0)</f>
        <v>5.5493098040583897</v>
      </c>
      <c r="L23" s="38">
        <f ca="1">5.43314743666465*OFFSET(L$112,MATCH($N$1,$C$112:$C$113,0)-1,0)</f>
        <v>5.4331474366646502</v>
      </c>
      <c r="M23" s="38">
        <f ca="1">5.77819959860866*OFFSET(M$112,MATCH($N$1,$C$112:$C$113,0)-1,0)</f>
        <v>5.7781995986086603</v>
      </c>
      <c r="N23" s="38">
        <v>5.8614330682178952</v>
      </c>
      <c r="O23" s="29">
        <f t="shared" ca="1" si="0"/>
        <v>0.15326170264615588</v>
      </c>
      <c r="P23" s="29">
        <f t="shared" ca="1" si="1"/>
        <v>0.20250462501185013</v>
      </c>
    </row>
    <row r="24" spans="1:16" ht="18" customHeight="1" x14ac:dyDescent="0.2">
      <c r="A24" s="197"/>
      <c r="B24" s="37" t="s">
        <v>12</v>
      </c>
      <c r="C24" s="38"/>
      <c r="D24" s="38">
        <f ca="1">2.35251513139318*OFFSET(D$112,MATCH($N$1,$C$112:$C$113,0)-1,0)</f>
        <v>2.3525151313931798</v>
      </c>
      <c r="E24" s="38">
        <f ca="1">2.34528915525903*OFFSET(E$112,MATCH($N$1,$C$112:$C$113,0)-1,0)</f>
        <v>2.3452891552590298</v>
      </c>
      <c r="F24" s="38">
        <f ca="1">2.1073160412518*OFFSET(F$112,MATCH($N$1,$C$112:$C$113,0)-1,0)</f>
        <v>2.1073160412518002</v>
      </c>
      <c r="G24" s="38">
        <f ca="1">2.64121869802165*OFFSET(G$112,MATCH($N$1,$C$112:$C$113,0)-1,0)</f>
        <v>2.6412186980216501</v>
      </c>
      <c r="H24" s="38">
        <f ca="1">1.64275149619371*OFFSET(H$112,MATCH($N$1,$C$112:$C$113,0)-1,0)</f>
        <v>1.64275149619371</v>
      </c>
      <c r="I24" s="38">
        <f ca="1">2.04118584668267*OFFSET(I$112,MATCH($N$1,$C$112:$C$113,0)-1,0)</f>
        <v>2.0411858466826698</v>
      </c>
      <c r="J24" s="38">
        <f ca="1">2.72997198839407*OFFSET(J$112,MATCH($N$1,$C$112:$C$113,0)-1,0)</f>
        <v>2.7299719883940701</v>
      </c>
      <c r="K24" s="38">
        <f ca="1">2.34281925036401*OFFSET(K$112,MATCH($N$1,$C$112:$C$113,0)-1,0)</f>
        <v>2.34281925036401</v>
      </c>
      <c r="L24" s="38">
        <f ca="1">2.87655700664553*OFFSET(L$112,MATCH($N$1,$C$112:$C$113,0)-1,0)</f>
        <v>2.8765570066455299</v>
      </c>
      <c r="M24" s="38">
        <f ca="1">4.15941290400357*OFFSET(M$112,MATCH($N$1,$C$112:$C$113,0)-1,0)</f>
        <v>4.1594129040035703</v>
      </c>
      <c r="N24" s="38">
        <v>3.2317715910819431</v>
      </c>
      <c r="O24" s="29">
        <f t="shared" ca="1" si="0"/>
        <v>0.373751670267923</v>
      </c>
      <c r="P24" s="29">
        <f t="shared" ca="1" si="1"/>
        <v>0.18381126429911138</v>
      </c>
    </row>
    <row r="25" spans="1:16" ht="18" customHeight="1" x14ac:dyDescent="0.2">
      <c r="A25" s="197"/>
      <c r="B25" s="37" t="s">
        <v>68</v>
      </c>
      <c r="C25" s="33"/>
      <c r="D25" s="33">
        <f ca="1">55.99*OFFSET(D$112,MATCH($N$1,$C$112:$C$113,0)-1,0)</f>
        <v>55.99</v>
      </c>
      <c r="E25" s="33">
        <f ca="1">67.02*OFFSET(E$112,MATCH($N$1,$C$112:$C$113,0)-1,0)</f>
        <v>67.02</v>
      </c>
      <c r="F25" s="33">
        <f ca="1">64.16*OFFSET(F$112,MATCH($N$1,$C$112:$C$113,0)-1,0)</f>
        <v>64.16</v>
      </c>
      <c r="G25" s="33">
        <f ca="1">74.04*OFFSET(G$112,MATCH($N$1,$C$112:$C$113,0)-1,0)</f>
        <v>74.040000000000006</v>
      </c>
      <c r="H25" s="33">
        <f ca="1">68.05*OFFSET(H$112,MATCH($N$1,$C$112:$C$113,0)-1,0)</f>
        <v>68.05</v>
      </c>
      <c r="I25" s="33">
        <f ca="1">65.11*OFFSET(I$112,MATCH($N$1,$C$112:$C$113,0)-1,0)</f>
        <v>65.11</v>
      </c>
      <c r="J25" s="33">
        <f ca="1">71.07*OFFSET(J$112,MATCH($N$1,$C$112:$C$113,0)-1,0)</f>
        <v>71.069999999999993</v>
      </c>
      <c r="K25" s="33">
        <f ca="1">92.43*OFFSET(K$112,MATCH($N$1,$C$112:$C$113,0)-1,0)</f>
        <v>92.43</v>
      </c>
      <c r="L25" s="33">
        <f ca="1">78.01*OFFSET(L$112,MATCH($N$1,$C$112:$C$113,0)-1,0)</f>
        <v>78.010000000000005</v>
      </c>
      <c r="M25" s="33">
        <f ca="1">152.43*OFFSET(M$112,MATCH($N$1,$C$112:$C$113,0)-1,0)</f>
        <v>152.43</v>
      </c>
      <c r="N25" s="33">
        <v>159.97999999999999</v>
      </c>
      <c r="O25" s="29">
        <f t="shared" ca="1" si="0"/>
        <v>1.8572959457045897</v>
      </c>
      <c r="P25" s="29">
        <f t="shared" ca="1" si="1"/>
        <v>1.2510201210074574</v>
      </c>
    </row>
    <row r="26" spans="1:16" ht="18" customHeight="1" x14ac:dyDescent="0.2">
      <c r="A26" s="198"/>
      <c r="B26" s="37" t="s">
        <v>69</v>
      </c>
      <c r="C26" s="33"/>
      <c r="D26" s="33">
        <f ca="1">19.44*OFFSET(D$112,MATCH($N$1,$C$112:$C$113,0)-1,0)</f>
        <v>19.440000000000001</v>
      </c>
      <c r="E26" s="33">
        <f ca="1">24.11*OFFSET(E$112,MATCH($N$1,$C$112:$C$113,0)-1,0)</f>
        <v>24.11</v>
      </c>
      <c r="F26" s="33">
        <f ca="1">19.69*OFFSET(F$112,MATCH($N$1,$C$112:$C$113,0)-1,0)</f>
        <v>19.690000000000001</v>
      </c>
      <c r="G26" s="33">
        <f ca="1">27.39*OFFSET(G$112,MATCH($N$1,$C$112:$C$113,0)-1,0)</f>
        <v>27.39</v>
      </c>
      <c r="H26" s="33">
        <f ca="1">17.63*OFFSET(H$112,MATCH($N$1,$C$112:$C$113,0)-1,0)</f>
        <v>17.63</v>
      </c>
      <c r="I26" s="33">
        <f ca="1">20*OFFSET(I$112,MATCH($N$1,$C$112:$C$113,0)-1,0)</f>
        <v>20</v>
      </c>
      <c r="J26" s="33">
        <f ca="1">26.44*OFFSET(J$112,MATCH($N$1,$C$112:$C$113,0)-1,0)</f>
        <v>26.44</v>
      </c>
      <c r="K26" s="33">
        <f ca="1">27.53*OFFSET(K$112,MATCH($N$1,$C$112:$C$113,0)-1,0)</f>
        <v>27.53</v>
      </c>
      <c r="L26" s="33">
        <f ca="1">27.53*OFFSET(L$112,MATCH($N$1,$C$112:$C$113,0)-1,0)</f>
        <v>27.53</v>
      </c>
      <c r="M26" s="33">
        <f ca="1">76.58*OFFSET(M$112,MATCH($N$1,$C$112:$C$113,0)-1,0)</f>
        <v>76.58</v>
      </c>
      <c r="N26" s="33">
        <v>62.79</v>
      </c>
      <c r="O26" s="34">
        <f t="shared" ca="1" si="0"/>
        <v>2.2299382716049378</v>
      </c>
      <c r="P26" s="34">
        <f t="shared" ca="1" si="1"/>
        <v>1.3748108925869891</v>
      </c>
    </row>
    <row r="27" spans="1:16" ht="18" customHeight="1" x14ac:dyDescent="0.2">
      <c r="A27" s="187" t="s">
        <v>30</v>
      </c>
      <c r="B27" s="35" t="s">
        <v>63</v>
      </c>
      <c r="C27" s="36"/>
      <c r="D27" s="36">
        <f ca="1">50.4*OFFSET(D$112,MATCH($N$1,$C$112:$C$113,0)-1,0)</f>
        <v>50.4</v>
      </c>
      <c r="E27" s="36">
        <f ca="1">48.1*OFFSET(E$112,MATCH($N$1,$C$112:$C$113,0)-1,0)</f>
        <v>48.1</v>
      </c>
      <c r="F27" s="36">
        <f ca="1">47.9*OFFSET(F$112,MATCH($N$1,$C$112:$C$113,0)-1,0)</f>
        <v>47.9</v>
      </c>
      <c r="G27" s="36">
        <f ca="1">51.9*OFFSET(G$112,MATCH($N$1,$C$112:$C$113,0)-1,0)</f>
        <v>51.9</v>
      </c>
      <c r="H27" s="36">
        <f ca="1">44*OFFSET(H$112,MATCH($N$1,$C$112:$C$113,0)-1,0)</f>
        <v>44</v>
      </c>
      <c r="I27" s="36">
        <f ca="1">47.2*OFFSET(I$112,MATCH($N$1,$C$112:$C$113,0)-1,0)</f>
        <v>47.2</v>
      </c>
      <c r="J27" s="36">
        <f ca="1">50*OFFSET(J$112,MATCH($N$1,$C$112:$C$113,0)-1,0)</f>
        <v>50</v>
      </c>
      <c r="K27" s="36">
        <f ca="1">49.7*OFFSET(K$112,MATCH($N$1,$C$112:$C$113,0)-1,0)</f>
        <v>49.7</v>
      </c>
      <c r="L27" s="36">
        <f ca="1">42.5*OFFSET(L$112,MATCH($N$1,$C$112:$C$113,0)-1,0)</f>
        <v>42.5</v>
      </c>
      <c r="M27" s="36">
        <f ca="1">41.2*OFFSET(M$112,MATCH($N$1,$C$112:$C$113,0)-1,0)</f>
        <v>41.2</v>
      </c>
      <c r="N27" s="36">
        <v>40</v>
      </c>
      <c r="O27" s="29">
        <f t="shared" ca="1" si="0"/>
        <v>-0.20634920634920634</v>
      </c>
      <c r="P27" s="29">
        <f t="shared" ca="1" si="1"/>
        <v>-0.2</v>
      </c>
    </row>
    <row r="28" spans="1:16" ht="18" customHeight="1" x14ac:dyDescent="0.2">
      <c r="A28" s="199"/>
      <c r="B28" s="37" t="s">
        <v>70</v>
      </c>
      <c r="C28" s="33"/>
      <c r="D28" s="33">
        <f ca="1">5*OFFSET(D$112,MATCH($N$1,$C$112:$C$113,0)-1,0)</f>
        <v>5</v>
      </c>
      <c r="E28" s="33">
        <f ca="1">3.1*OFFSET(E$112,MATCH($N$1,$C$112:$C$113,0)-1,0)</f>
        <v>3.1</v>
      </c>
      <c r="F28" s="33">
        <f ca="1">0.4*OFFSET(F$112,MATCH($N$1,$C$112:$C$113,0)-1,0)</f>
        <v>0.4</v>
      </c>
      <c r="G28" s="33">
        <f ca="1">3.7*OFFSET(G$112,MATCH($N$1,$C$112:$C$113,0)-1,0)</f>
        <v>3.7</v>
      </c>
      <c r="H28" s="33">
        <f ca="1">0.6*OFFSET(H$112,MATCH($N$1,$C$112:$C$113,0)-1,0)</f>
        <v>0.6</v>
      </c>
      <c r="I28" s="33">
        <f ca="1">0.7*OFFSET(I$112,MATCH($N$1,$C$112:$C$113,0)-1,0)</f>
        <v>0.7</v>
      </c>
      <c r="J28" s="33">
        <f ca="1">1.8*OFFSET(J$112,MATCH($N$1,$C$112:$C$113,0)-1,0)</f>
        <v>1.8</v>
      </c>
      <c r="K28" s="33">
        <f ca="1">0.1*OFFSET(K$112,MATCH($N$1,$C$112:$C$113,0)-1,0)</f>
        <v>0.1</v>
      </c>
      <c r="L28" s="33">
        <f ca="1">0.9*OFFSET(L$112,MATCH($N$1,$C$112:$C$113,0)-1,0)</f>
        <v>0.9</v>
      </c>
      <c r="M28" s="33">
        <f ca="1">8.2*OFFSET(M$112,MATCH($N$1,$C$112:$C$113,0)-1,0)</f>
        <v>8.1999999999999993</v>
      </c>
      <c r="N28" s="33">
        <v>4.3</v>
      </c>
      <c r="O28" s="29">
        <f t="shared" ca="1" si="0"/>
        <v>-0.14000000000000004</v>
      </c>
      <c r="P28" s="29">
        <f t="shared" ca="1" si="1"/>
        <v>1.3888888888888888</v>
      </c>
    </row>
    <row r="29" spans="1:16" ht="18" customHeight="1" x14ac:dyDescent="0.2">
      <c r="A29" s="199"/>
      <c r="B29" s="42" t="s">
        <v>71</v>
      </c>
      <c r="C29" s="43"/>
      <c r="D29" s="43">
        <f ca="1">55.4*OFFSET(D$112,MATCH($N$1,$C$112:$C$113,0)-1,0)</f>
        <v>55.4</v>
      </c>
      <c r="E29" s="43">
        <f ca="1">51.2*OFFSET(E$112,MATCH($N$1,$C$112:$C$113,0)-1,0)</f>
        <v>51.2</v>
      </c>
      <c r="F29" s="43">
        <f ca="1">48.4*OFFSET(F$112,MATCH($N$1,$C$112:$C$113,0)-1,0)</f>
        <v>48.4</v>
      </c>
      <c r="G29" s="43">
        <f ca="1">55.6*OFFSET(G$112,MATCH($N$1,$C$112:$C$113,0)-1,0)</f>
        <v>55.6</v>
      </c>
      <c r="H29" s="43">
        <f ca="1">44.6*OFFSET(H$112,MATCH($N$1,$C$112:$C$113,0)-1,0)</f>
        <v>44.6</v>
      </c>
      <c r="I29" s="43">
        <f ca="1">47.8*OFFSET(I$112,MATCH($N$1,$C$112:$C$113,0)-1,0)</f>
        <v>47.8</v>
      </c>
      <c r="J29" s="43">
        <f ca="1">51.8*OFFSET(J$112,MATCH($N$1,$C$112:$C$113,0)-1,0)</f>
        <v>51.8</v>
      </c>
      <c r="K29" s="43">
        <f ca="1">49.8*OFFSET(K$112,MATCH($N$1,$C$112:$C$113,0)-1,0)</f>
        <v>49.8</v>
      </c>
      <c r="L29" s="43">
        <f ca="1">43.4*OFFSET(L$112,MATCH($N$1,$C$112:$C$113,0)-1,0)</f>
        <v>43.4</v>
      </c>
      <c r="M29" s="43">
        <f ca="1">49.4*OFFSET(M$112,MATCH($N$1,$C$112:$C$113,0)-1,0)</f>
        <v>49.4</v>
      </c>
      <c r="N29" s="43">
        <v>44.300000000000004</v>
      </c>
      <c r="O29" s="29">
        <f t="shared" ca="1" si="0"/>
        <v>-0.20036101083032481</v>
      </c>
      <c r="P29" s="29">
        <f t="shared" ca="1" si="1"/>
        <v>-0.14478764478764466</v>
      </c>
    </row>
    <row r="30" spans="1:16" ht="18" customHeight="1" x14ac:dyDescent="0.2">
      <c r="A30" s="199"/>
      <c r="B30" s="37" t="s">
        <v>72</v>
      </c>
      <c r="C30" s="33"/>
      <c r="D30" s="33">
        <f ca="1">6.1*OFFSET(D$112,MATCH($N$1,$C$112:$C$113,0)-1,0)</f>
        <v>6.1</v>
      </c>
      <c r="E30" s="33">
        <f ca="1">6*OFFSET(E$112,MATCH($N$1,$C$112:$C$113,0)-1,0)</f>
        <v>6</v>
      </c>
      <c r="F30" s="33">
        <f ca="1">5.4*OFFSET(F$112,MATCH($N$1,$C$112:$C$113,0)-1,0)</f>
        <v>5.4</v>
      </c>
      <c r="G30" s="33">
        <f ca="1">5.2*OFFSET(G$112,MATCH($N$1,$C$112:$C$113,0)-1,0)</f>
        <v>5.2</v>
      </c>
      <c r="H30" s="33">
        <f ca="1">3.5*OFFSET(H$112,MATCH($N$1,$C$112:$C$113,0)-1,0)</f>
        <v>3.5</v>
      </c>
      <c r="I30" s="33">
        <f ca="1">3.4*OFFSET(I$112,MATCH($N$1,$C$112:$C$113,0)-1,0)</f>
        <v>3.4</v>
      </c>
      <c r="J30" s="33">
        <f ca="1">4*OFFSET(J$112,MATCH($N$1,$C$112:$C$113,0)-1,0)</f>
        <v>4</v>
      </c>
      <c r="K30" s="33">
        <f ca="1">4.3*OFFSET(K$112,MATCH($N$1,$C$112:$C$113,0)-1,0)</f>
        <v>4.3</v>
      </c>
      <c r="L30" s="33">
        <f ca="1">3.5*OFFSET(L$112,MATCH($N$1,$C$112:$C$113,0)-1,0)</f>
        <v>3.5</v>
      </c>
      <c r="M30" s="33">
        <f ca="1">2.4*OFFSET(M$112,MATCH($N$1,$C$112:$C$113,0)-1,0)</f>
        <v>2.4</v>
      </c>
      <c r="N30" s="33">
        <v>2.9</v>
      </c>
      <c r="O30" s="29">
        <f t="shared" ca="1" si="0"/>
        <v>-0.52459016393442626</v>
      </c>
      <c r="P30" s="29">
        <f t="shared" ca="1" si="1"/>
        <v>-0.27500000000000002</v>
      </c>
    </row>
    <row r="31" spans="1:16" ht="18" customHeight="1" x14ac:dyDescent="0.2">
      <c r="A31" s="199"/>
      <c r="B31" s="37" t="s">
        <v>73</v>
      </c>
      <c r="C31" s="33"/>
      <c r="D31" s="33">
        <f ca="1">14.5*OFFSET(D$112,MATCH($N$1,$C$112:$C$113,0)-1,0)</f>
        <v>14.5</v>
      </c>
      <c r="E31" s="33">
        <f ca="1">10.8*OFFSET(E$112,MATCH($N$1,$C$112:$C$113,0)-1,0)</f>
        <v>10.8</v>
      </c>
      <c r="F31" s="33">
        <f ca="1">7.8*OFFSET(F$112,MATCH($N$1,$C$112:$C$113,0)-1,0)</f>
        <v>7.8</v>
      </c>
      <c r="G31" s="33">
        <f ca="1">13*OFFSET(G$112,MATCH($N$1,$C$112:$C$113,0)-1,0)</f>
        <v>13</v>
      </c>
      <c r="H31" s="33">
        <f ca="1">12.4*OFFSET(H$112,MATCH($N$1,$C$112:$C$113,0)-1,0)</f>
        <v>12.4</v>
      </c>
      <c r="I31" s="33">
        <f ca="1">15.4*OFFSET(I$112,MATCH($N$1,$C$112:$C$113,0)-1,0)</f>
        <v>15.4</v>
      </c>
      <c r="J31" s="33">
        <f ca="1">15.9*OFFSET(J$112,MATCH($N$1,$C$112:$C$113,0)-1,0)</f>
        <v>15.9</v>
      </c>
      <c r="K31" s="33">
        <f ca="1">16.2*OFFSET(K$112,MATCH($N$1,$C$112:$C$113,0)-1,0)</f>
        <v>16.2</v>
      </c>
      <c r="L31" s="33">
        <f ca="1">12.9*OFFSET(L$112,MATCH($N$1,$C$112:$C$113,0)-1,0)</f>
        <v>12.9</v>
      </c>
      <c r="M31" s="33">
        <f ca="1">13.6*OFFSET(M$112,MATCH($N$1,$C$112:$C$113,0)-1,0)</f>
        <v>13.6</v>
      </c>
      <c r="N31" s="33">
        <v>13</v>
      </c>
      <c r="O31" s="29">
        <f t="shared" ca="1" si="0"/>
        <v>-0.10344827586206896</v>
      </c>
      <c r="P31" s="29">
        <f t="shared" ca="1" si="1"/>
        <v>-0.18238993710691825</v>
      </c>
    </row>
    <row r="32" spans="1:16" ht="18" customHeight="1" x14ac:dyDescent="0.2">
      <c r="A32" s="199"/>
      <c r="B32" s="37" t="s">
        <v>74</v>
      </c>
      <c r="C32" s="33"/>
      <c r="D32" s="33">
        <f ca="1">8.3*OFFSET(D$112,MATCH($N$1,$C$112:$C$113,0)-1,0)</f>
        <v>8.3000000000000007</v>
      </c>
      <c r="E32" s="33">
        <f ca="1">8.3*OFFSET(E$112,MATCH($N$1,$C$112:$C$113,0)-1,0)</f>
        <v>8.3000000000000007</v>
      </c>
      <c r="F32" s="33">
        <f ca="1">11.2*OFFSET(F$112,MATCH($N$1,$C$112:$C$113,0)-1,0)</f>
        <v>11.2</v>
      </c>
      <c r="G32" s="33">
        <f ca="1">7.2*OFFSET(G$112,MATCH($N$1,$C$112:$C$113,0)-1,0)</f>
        <v>7.2</v>
      </c>
      <c r="H32" s="33">
        <f ca="1">7.2*OFFSET(H$112,MATCH($N$1,$C$112:$C$113,0)-1,0)</f>
        <v>7.2</v>
      </c>
      <c r="I32" s="33">
        <f ca="1">6.3*OFFSET(I$112,MATCH($N$1,$C$112:$C$113,0)-1,0)</f>
        <v>6.3</v>
      </c>
      <c r="J32" s="33">
        <f ca="1">6.3*OFFSET(J$112,MATCH($N$1,$C$112:$C$113,0)-1,0)</f>
        <v>6.3</v>
      </c>
      <c r="K32" s="33">
        <f ca="1">7.7*OFFSET(K$112,MATCH($N$1,$C$112:$C$113,0)-1,0)</f>
        <v>7.7</v>
      </c>
      <c r="L32" s="33">
        <f ca="1">6.6*OFFSET(L$112,MATCH($N$1,$C$112:$C$113,0)-1,0)</f>
        <v>6.6</v>
      </c>
      <c r="M32" s="33">
        <f ca="1">4.9*OFFSET(M$112,MATCH($N$1,$C$112:$C$113,0)-1,0)</f>
        <v>4.9000000000000004</v>
      </c>
      <c r="N32" s="33">
        <v>4.7</v>
      </c>
      <c r="O32" s="29">
        <f t="shared" ca="1" si="0"/>
        <v>-0.43373493975903615</v>
      </c>
      <c r="P32" s="29">
        <f t="shared" ca="1" si="1"/>
        <v>-0.2539682539682539</v>
      </c>
    </row>
    <row r="33" spans="1:16" ht="18" customHeight="1" x14ac:dyDescent="0.2">
      <c r="A33" s="199"/>
      <c r="B33" s="37" t="s">
        <v>75</v>
      </c>
      <c r="C33" s="33"/>
      <c r="D33" s="33">
        <f ca="1">28.9*OFFSET(D$112,MATCH($N$1,$C$112:$C$113,0)-1,0)</f>
        <v>28.9</v>
      </c>
      <c r="E33" s="33">
        <f ca="1">25.1*OFFSET(E$112,MATCH($N$1,$C$112:$C$113,0)-1,0)</f>
        <v>25.1</v>
      </c>
      <c r="F33" s="33">
        <f ca="1">24.4*OFFSET(F$112,MATCH($N$1,$C$112:$C$113,0)-1,0)</f>
        <v>24.4</v>
      </c>
      <c r="G33" s="33">
        <f ca="1">25.3*OFFSET(G$112,MATCH($N$1,$C$112:$C$113,0)-1,0)</f>
        <v>25.3</v>
      </c>
      <c r="H33" s="33">
        <f ca="1">23.1*OFFSET(H$112,MATCH($N$1,$C$112:$C$113,0)-1,0)</f>
        <v>23.1</v>
      </c>
      <c r="I33" s="33">
        <f ca="1">25.1*OFFSET(I$112,MATCH($N$1,$C$112:$C$113,0)-1,0)</f>
        <v>25.1</v>
      </c>
      <c r="J33" s="33">
        <f ca="1">26.1*OFFSET(J$112,MATCH($N$1,$C$112:$C$113,0)-1,0)</f>
        <v>26.1</v>
      </c>
      <c r="K33" s="33">
        <f ca="1">28.2*OFFSET(K$112,MATCH($N$1,$C$112:$C$113,0)-1,0)</f>
        <v>28.2</v>
      </c>
      <c r="L33" s="33">
        <f ca="1">23*OFFSET(L$112,MATCH($N$1,$C$112:$C$113,0)-1,0)</f>
        <v>23</v>
      </c>
      <c r="M33" s="33">
        <f ca="1">20.9*OFFSET(M$112,MATCH($N$1,$C$112:$C$113,0)-1,0)</f>
        <v>20.9</v>
      </c>
      <c r="N33" s="33">
        <v>20.6</v>
      </c>
      <c r="O33" s="29">
        <f t="shared" ca="1" si="0"/>
        <v>-0.28719723183390994</v>
      </c>
      <c r="P33" s="29">
        <f t="shared" ca="1" si="1"/>
        <v>-0.21072796934865901</v>
      </c>
    </row>
    <row r="34" spans="1:16" ht="18" customHeight="1" x14ac:dyDescent="0.2">
      <c r="A34" s="199"/>
      <c r="B34" s="37" t="s">
        <v>76</v>
      </c>
      <c r="C34" s="33"/>
      <c r="D34" s="33">
        <f ca="1">9*OFFSET(D$112,MATCH($N$1,$C$112:$C$113,0)-1,0)</f>
        <v>9</v>
      </c>
      <c r="E34" s="33">
        <f ca="1">8.7*OFFSET(E$112,MATCH($N$1,$C$112:$C$113,0)-1,0)</f>
        <v>8.6999999999999993</v>
      </c>
      <c r="F34" s="33">
        <f ca="1">9.3*OFFSET(F$112,MATCH($N$1,$C$112:$C$113,0)-1,0)</f>
        <v>9.3000000000000007</v>
      </c>
      <c r="G34" s="33">
        <f ca="1">11.1*OFFSET(G$112,MATCH($N$1,$C$112:$C$113,0)-1,0)</f>
        <v>11.1</v>
      </c>
      <c r="H34" s="33">
        <f ca="1">10*OFFSET(H$112,MATCH($N$1,$C$112:$C$113,0)-1,0)</f>
        <v>10</v>
      </c>
      <c r="I34" s="33">
        <f ca="1">8.2*OFFSET(I$112,MATCH($N$1,$C$112:$C$113,0)-1,0)</f>
        <v>8.1999999999999993</v>
      </c>
      <c r="J34" s="33">
        <f ca="1">7.1*OFFSET(J$112,MATCH($N$1,$C$112:$C$113,0)-1,0)</f>
        <v>7.1</v>
      </c>
      <c r="K34" s="33">
        <f ca="1">6.8*OFFSET(K$112,MATCH($N$1,$C$112:$C$113,0)-1,0)</f>
        <v>6.8</v>
      </c>
      <c r="L34" s="33">
        <f ca="1">5.4*OFFSET(L$112,MATCH($N$1,$C$112:$C$113,0)-1,0)</f>
        <v>5.4</v>
      </c>
      <c r="M34" s="33">
        <f ca="1">7.8*OFFSET(M$112,MATCH($N$1,$C$112:$C$113,0)-1,0)</f>
        <v>7.8</v>
      </c>
      <c r="N34" s="33">
        <v>7.9</v>
      </c>
      <c r="O34" s="29">
        <f t="shared" ca="1" si="0"/>
        <v>-0.12222222222222218</v>
      </c>
      <c r="P34" s="29">
        <f t="shared" ca="1" si="1"/>
        <v>0.11267605633802827</v>
      </c>
    </row>
    <row r="35" spans="1:16" ht="18" customHeight="1" x14ac:dyDescent="0.2">
      <c r="A35" s="199"/>
      <c r="B35" s="37" t="s">
        <v>77</v>
      </c>
      <c r="C35" s="33"/>
      <c r="D35" s="33">
        <f ca="1">37.8*OFFSET(D$112,MATCH($N$1,$C$112:$C$113,0)-1,0)</f>
        <v>37.799999999999997</v>
      </c>
      <c r="E35" s="33">
        <f ca="1">33.9*OFFSET(E$112,MATCH($N$1,$C$112:$C$113,0)-1,0)</f>
        <v>33.9</v>
      </c>
      <c r="F35" s="33">
        <f ca="1">33.7*OFFSET(F$112,MATCH($N$1,$C$112:$C$113,0)-1,0)</f>
        <v>33.700000000000003</v>
      </c>
      <c r="G35" s="33">
        <f ca="1">36.4*OFFSET(G$112,MATCH($N$1,$C$112:$C$113,0)-1,0)</f>
        <v>36.4</v>
      </c>
      <c r="H35" s="33">
        <f ca="1">33.1*OFFSET(H$112,MATCH($N$1,$C$112:$C$113,0)-1,0)</f>
        <v>33.1</v>
      </c>
      <c r="I35" s="33">
        <f ca="1">33.3*OFFSET(I$112,MATCH($N$1,$C$112:$C$113,0)-1,0)</f>
        <v>33.299999999999997</v>
      </c>
      <c r="J35" s="33">
        <f ca="1">33.2*OFFSET(J$112,MATCH($N$1,$C$112:$C$113,0)-1,0)</f>
        <v>33.200000000000003</v>
      </c>
      <c r="K35" s="33">
        <f ca="1">35*OFFSET(K$112,MATCH($N$1,$C$112:$C$113,0)-1,0)</f>
        <v>35</v>
      </c>
      <c r="L35" s="33">
        <f ca="1">28.4*OFFSET(L$112,MATCH($N$1,$C$112:$C$113,0)-1,0)</f>
        <v>28.4</v>
      </c>
      <c r="M35" s="33">
        <f ca="1">28.7*OFFSET(M$112,MATCH($N$1,$C$112:$C$113,0)-1,0)</f>
        <v>28.7</v>
      </c>
      <c r="N35" s="33">
        <v>28.5</v>
      </c>
      <c r="O35" s="29">
        <f t="shared" ca="1" si="0"/>
        <v>-0.24603174603174596</v>
      </c>
      <c r="P35" s="29">
        <f t="shared" ca="1" si="1"/>
        <v>-0.14156626506024103</v>
      </c>
    </row>
    <row r="36" spans="1:16" ht="18" customHeight="1" x14ac:dyDescent="0.2">
      <c r="A36" s="199"/>
      <c r="B36" s="42" t="s">
        <v>78</v>
      </c>
      <c r="C36" s="43"/>
      <c r="D36" s="43">
        <f ca="1">32*OFFSET(D$112,MATCH($N$1,$C$112:$C$113,0)-1,0)</f>
        <v>32</v>
      </c>
      <c r="E36" s="43">
        <f ca="1">28.1*OFFSET(E$112,MATCH($N$1,$C$112:$C$113,0)-1,0)</f>
        <v>28.1</v>
      </c>
      <c r="F36" s="43">
        <f ca="1">22.5*OFFSET(F$112,MATCH($N$1,$C$112:$C$113,0)-1,0)</f>
        <v>22.5</v>
      </c>
      <c r="G36" s="43">
        <f ca="1">32.2*OFFSET(G$112,MATCH($N$1,$C$112:$C$113,0)-1,0)</f>
        <v>32.200000000000003</v>
      </c>
      <c r="H36" s="43">
        <f ca="1">23.8*OFFSET(H$112,MATCH($N$1,$C$112:$C$113,0)-1,0)</f>
        <v>23.8</v>
      </c>
      <c r="I36" s="43">
        <f ca="1">29.9*OFFSET(I$112,MATCH($N$1,$C$112:$C$113,0)-1,0)</f>
        <v>29.9</v>
      </c>
      <c r="J36" s="43">
        <f ca="1">34.5*OFFSET(J$112,MATCH($N$1,$C$112:$C$113,0)-1,0)</f>
        <v>34.5</v>
      </c>
      <c r="K36" s="43">
        <f ca="1">31*OFFSET(K$112,MATCH($N$1,$C$112:$C$113,0)-1,0)</f>
        <v>31</v>
      </c>
      <c r="L36" s="43">
        <f ca="1">27.9*OFFSET(L$112,MATCH($N$1,$C$112:$C$113,0)-1,0)</f>
        <v>27.9</v>
      </c>
      <c r="M36" s="43">
        <f ca="1">34.3*OFFSET(M$112,MATCH($N$1,$C$112:$C$113,0)-1,0)</f>
        <v>34.299999999999997</v>
      </c>
      <c r="N36" s="43">
        <v>28.700000000000003</v>
      </c>
      <c r="O36" s="29">
        <f t="shared" ca="1" si="0"/>
        <v>-0.10312499999999991</v>
      </c>
      <c r="P36" s="29">
        <f t="shared" ca="1" si="1"/>
        <v>-0.16811594202898542</v>
      </c>
    </row>
    <row r="37" spans="1:16" ht="18" customHeight="1" x14ac:dyDescent="0.2">
      <c r="A37" s="199"/>
      <c r="B37" s="42" t="s">
        <v>79</v>
      </c>
      <c r="C37" s="43"/>
      <c r="D37" s="43">
        <f ca="1">17.5*OFFSET(D$112,MATCH($N$1,$C$112:$C$113,0)-1,0)</f>
        <v>17.5</v>
      </c>
      <c r="E37" s="43">
        <f ca="1">17.3*OFFSET(E$112,MATCH($N$1,$C$112:$C$113,0)-1,0)</f>
        <v>17.3</v>
      </c>
      <c r="F37" s="43">
        <f ca="1">14.7*OFFSET(F$112,MATCH($N$1,$C$112:$C$113,0)-1,0)</f>
        <v>14.7</v>
      </c>
      <c r="G37" s="43">
        <f ca="1">19.2*OFFSET(G$112,MATCH($N$1,$C$112:$C$113,0)-1,0)</f>
        <v>19.2</v>
      </c>
      <c r="H37" s="43">
        <f ca="1">11.4*OFFSET(H$112,MATCH($N$1,$C$112:$C$113,0)-1,0)</f>
        <v>11.4</v>
      </c>
      <c r="I37" s="43">
        <f ca="1">14.5*OFFSET(I$112,MATCH($N$1,$C$112:$C$113,0)-1,0)</f>
        <v>14.5</v>
      </c>
      <c r="J37" s="43">
        <f ca="1">18.6*OFFSET(J$112,MATCH($N$1,$C$112:$C$113,0)-1,0)</f>
        <v>18.600000000000001</v>
      </c>
      <c r="K37" s="43">
        <f ca="1">14.8*OFFSET(K$112,MATCH($N$1,$C$112:$C$113,0)-1,0)</f>
        <v>14.8</v>
      </c>
      <c r="L37" s="43">
        <f ca="1">15*OFFSET(L$112,MATCH($N$1,$C$112:$C$113,0)-1,0)</f>
        <v>15</v>
      </c>
      <c r="M37" s="43">
        <f ca="1">20.7*OFFSET(M$112,MATCH($N$1,$C$112:$C$113,0)-1,0)</f>
        <v>20.7</v>
      </c>
      <c r="N37" s="43">
        <v>15.700000000000001</v>
      </c>
      <c r="O37" s="29">
        <f t="shared" ca="1" si="0"/>
        <v>-0.1028571428571428</v>
      </c>
      <c r="P37" s="29">
        <f t="shared" ca="1" si="1"/>
        <v>-0.15591397849462366</v>
      </c>
    </row>
    <row r="38" spans="1:16" ht="18" customHeight="1" x14ac:dyDescent="0.2">
      <c r="A38" s="199"/>
      <c r="B38" s="37" t="s">
        <v>80</v>
      </c>
      <c r="C38" s="33"/>
      <c r="D38" s="33">
        <f ca="1">2.5*OFFSET(D$112,MATCH($N$1,$C$112:$C$113,0)-1,0)</f>
        <v>2.5</v>
      </c>
      <c r="E38" s="33">
        <f ca="1">2.8*OFFSET(E$112,MATCH($N$1,$C$112:$C$113,0)-1,0)</f>
        <v>2.8</v>
      </c>
      <c r="F38" s="33">
        <f ca="1">4.4*OFFSET(F$112,MATCH($N$1,$C$112:$C$113,0)-1,0)</f>
        <v>4.4000000000000004</v>
      </c>
      <c r="G38" s="33">
        <f ca="1">3.2*OFFSET(G$112,MATCH($N$1,$C$112:$C$113,0)-1,0)</f>
        <v>3.2</v>
      </c>
      <c r="H38" s="33">
        <f ca="1">2.3*OFFSET(H$112,MATCH($N$1,$C$112:$C$113,0)-1,0)</f>
        <v>2.2999999999999998</v>
      </c>
      <c r="I38" s="33">
        <f ca="1">3.5*OFFSET(I$112,MATCH($N$1,$C$112:$C$113,0)-1,0)</f>
        <v>3.5</v>
      </c>
      <c r="J38" s="33">
        <f ca="1">2.8*OFFSET(J$112,MATCH($N$1,$C$112:$C$113,0)-1,0)</f>
        <v>2.8</v>
      </c>
      <c r="K38" s="33">
        <f ca="1">3.8*OFFSET(K$112,MATCH($N$1,$C$112:$C$113,0)-1,0)</f>
        <v>3.8</v>
      </c>
      <c r="L38" s="33">
        <f ca="1">4.2*OFFSET(L$112,MATCH($N$1,$C$112:$C$113,0)-1,0)</f>
        <v>4.2</v>
      </c>
      <c r="M38" s="33">
        <f ca="1">4.2*OFFSET(M$112,MATCH($N$1,$C$112:$C$113,0)-1,0)</f>
        <v>4.2</v>
      </c>
      <c r="N38" s="33"/>
      <c r="O38" s="29" t="str">
        <f t="shared" si="0"/>
        <v/>
      </c>
      <c r="P38" s="29" t="str">
        <f t="shared" si="1"/>
        <v/>
      </c>
    </row>
    <row r="39" spans="1:16" ht="18" customHeight="1" x14ac:dyDescent="0.2">
      <c r="A39" s="199"/>
      <c r="B39" s="37" t="s">
        <v>81</v>
      </c>
      <c r="C39" s="33"/>
      <c r="D39" s="33">
        <f ca="1">0.4*OFFSET(D$112,MATCH($N$1,$C$112:$C$113,0)-1,0)</f>
        <v>0.4</v>
      </c>
      <c r="E39" s="33">
        <f ca="1">0.4*OFFSET(E$112,MATCH($N$1,$C$112:$C$113,0)-1,0)</f>
        <v>0.4</v>
      </c>
      <c r="F39" s="33">
        <f ca="1">0.5*OFFSET(F$112,MATCH($N$1,$C$112:$C$113,0)-1,0)</f>
        <v>0.5</v>
      </c>
      <c r="G39" s="33">
        <f ca="1">0.4*OFFSET(G$112,MATCH($N$1,$C$112:$C$113,0)-1,0)</f>
        <v>0.4</v>
      </c>
      <c r="H39" s="33">
        <f ca="1">0.5*OFFSET(H$112,MATCH($N$1,$C$112:$C$113,0)-1,0)</f>
        <v>0.5</v>
      </c>
      <c r="I39" s="33">
        <f ca="1">0.3*OFFSET(I$112,MATCH($N$1,$C$112:$C$113,0)-1,0)</f>
        <v>0.3</v>
      </c>
      <c r="J39" s="33">
        <f ca="1">0.3*OFFSET(J$112,MATCH($N$1,$C$112:$C$113,0)-1,0)</f>
        <v>0.3</v>
      </c>
      <c r="K39" s="33">
        <f ca="1">0.2*OFFSET(K$112,MATCH($N$1,$C$112:$C$113,0)-1,0)</f>
        <v>0.2</v>
      </c>
      <c r="L39" s="33">
        <f ca="1">0.1*OFFSET(L$112,MATCH($N$1,$C$112:$C$113,0)-1,0)</f>
        <v>0.1</v>
      </c>
      <c r="M39" s="33"/>
      <c r="N39" s="33"/>
      <c r="O39" s="29" t="str">
        <f t="shared" si="0"/>
        <v/>
      </c>
      <c r="P39" s="29" t="str">
        <f t="shared" si="1"/>
        <v/>
      </c>
    </row>
    <row r="40" spans="1:16" ht="18" customHeight="1" x14ac:dyDescent="0.2">
      <c r="A40" s="199"/>
      <c r="B40" s="37" t="s">
        <v>82</v>
      </c>
      <c r="C40" s="33"/>
      <c r="D40" s="33">
        <f ca="1">1.3*OFFSET(D$112,MATCH($N$1,$C$112:$C$113,0)-1,0)</f>
        <v>1.3</v>
      </c>
      <c r="E40" s="33">
        <f ca="1">1.6*OFFSET(E$112,MATCH($N$1,$C$112:$C$113,0)-1,0)</f>
        <v>1.6</v>
      </c>
      <c r="F40" s="33">
        <f ca="1">0.3*OFFSET(F$112,MATCH($N$1,$C$112:$C$113,0)-1,0)</f>
        <v>0.3</v>
      </c>
      <c r="G40" s="33">
        <f ca="1">0.1*OFFSET(G$112,MATCH($N$1,$C$112:$C$113,0)-1,0)</f>
        <v>0.1</v>
      </c>
      <c r="H40" s="33">
        <f ca="1">0.3*OFFSET(H$112,MATCH($N$1,$C$112:$C$113,0)-1,0)</f>
        <v>0.3</v>
      </c>
      <c r="I40" s="33">
        <f ca="1">0.1*OFFSET(I$112,MATCH($N$1,$C$112:$C$113,0)-1,0)</f>
        <v>0.1</v>
      </c>
      <c r="J40" s="33">
        <f ca="1">0.2*OFFSET(J$112,MATCH($N$1,$C$112:$C$113,0)-1,0)</f>
        <v>0.2</v>
      </c>
      <c r="K40" s="33">
        <f ca="1">0.1*OFFSET(K$112,MATCH($N$1,$C$112:$C$113,0)-1,0)</f>
        <v>0.1</v>
      </c>
      <c r="L40" s="33"/>
      <c r="M40" s="33"/>
      <c r="N40" s="33"/>
      <c r="O40" s="29" t="str">
        <f t="shared" si="0"/>
        <v/>
      </c>
      <c r="P40" s="29" t="str">
        <f t="shared" si="1"/>
        <v/>
      </c>
    </row>
    <row r="41" spans="1:16" ht="18" customHeight="1" thickBot="1" x14ac:dyDescent="0.25">
      <c r="A41" s="200"/>
      <c r="B41" s="44" t="s">
        <v>83</v>
      </c>
      <c r="C41" s="45"/>
      <c r="D41" s="45">
        <f ca="1">13.3*OFFSET(D$112,MATCH($N$1,$C$112:$C$113,0)-1,0)</f>
        <v>13.3</v>
      </c>
      <c r="E41" s="45">
        <f ca="1">12.6*OFFSET(E$112,MATCH($N$1,$C$112:$C$113,0)-1,0)</f>
        <v>12.6</v>
      </c>
      <c r="F41" s="45">
        <f ca="1">9.4*OFFSET(F$112,MATCH($N$1,$C$112:$C$113,0)-1,0)</f>
        <v>9.4</v>
      </c>
      <c r="G41" s="45">
        <f ca="1">15.4*OFFSET(G$112,MATCH($N$1,$C$112:$C$113,0)-1,0)</f>
        <v>15.4</v>
      </c>
      <c r="H41" s="45">
        <f ca="1">8.3*OFFSET(H$112,MATCH($N$1,$C$112:$C$113,0)-1,0)</f>
        <v>8.3000000000000007</v>
      </c>
      <c r="I41" s="45">
        <f ca="1">10.6*OFFSET(I$112,MATCH($N$1,$C$112:$C$113,0)-1,0)</f>
        <v>10.6</v>
      </c>
      <c r="J41" s="45">
        <f ca="1">15.3*OFFSET(J$112,MATCH($N$1,$C$112:$C$113,0)-1,0)</f>
        <v>15.3</v>
      </c>
      <c r="K41" s="45">
        <f ca="1">10.6*OFFSET(K$112,MATCH($N$1,$C$112:$C$113,0)-1,0)</f>
        <v>10.6</v>
      </c>
      <c r="L41" s="45">
        <f ca="1">10.8*OFFSET(L$112,MATCH($N$1,$C$112:$C$113,0)-1,0)</f>
        <v>10.8</v>
      </c>
      <c r="M41" s="45">
        <f ca="1">12.7*OFFSET(M$112,MATCH($N$1,$C$112:$C$113,0)-1,0)</f>
        <v>12.7</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130</v>
      </c>
      <c r="F46" s="94" t="s">
        <v>130</v>
      </c>
      <c r="G46" s="94" t="s">
        <v>130</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Under 10m drift and/or fixed nets</v>
      </c>
      <c r="C48" s="96"/>
      <c r="D48" s="96"/>
      <c r="E48" s="96"/>
      <c r="F48" s="96"/>
      <c r="G48" s="96"/>
      <c r="K48" s="96" t="str">
        <f>$B24&amp;CHAR(10)&amp;$A$1</f>
        <v>Operating profit per kW day at sea (£)
Under 10m drift and/or fixed nets</v>
      </c>
    </row>
    <row r="49" spans="1:11" s="82" customFormat="1" x14ac:dyDescent="0.2">
      <c r="A49" s="96" t="str">
        <f>$B22&amp;CHAR(10)&amp;$A$1</f>
        <v>Fishing income per kW day at sea (£)
Under 10m drift and/or fixed nets</v>
      </c>
    </row>
    <row r="50" spans="1:11" s="82" customFormat="1" x14ac:dyDescent="0.2">
      <c r="A50" s="96" t="str">
        <f>$B20&amp;CHAR(10)&amp;$A$1</f>
        <v>Average price per tonne landed (£)
Under 10m drift and/or fixed nets</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Under 10m drift and/or fixed nets</v>
      </c>
      <c r="F62" s="96" t="str">
        <f>$B20&amp;CHAR(10)&amp;$A$1</f>
        <v>Average price per tonne landed (£)
Under 10m drift and/or fixed nets</v>
      </c>
      <c r="K62" s="96" t="str">
        <f>"Average annual operating profit per vessel (£'000)"&amp;CHAR(10)&amp;$A$1</f>
        <v>Average annual operating profit per vessel (£'000)
Under 10m drift and/or fixed nets</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Under 10m drift and/or fixed nets</v>
      </c>
      <c r="F76" s="96" t="str">
        <f>"Top 5 landed species by value in "&amp;A77&amp;CHAR(10)&amp;A1</f>
        <v>Top 5 landed species by value in 2020
Under 10m drift and/or fixed nets</v>
      </c>
    </row>
    <row r="77" spans="1:11" s="96" customFormat="1" x14ac:dyDescent="0.2">
      <c r="A77" s="96">
        <v>2020</v>
      </c>
      <c r="B77" s="96" t="s">
        <v>471</v>
      </c>
      <c r="C77" s="97">
        <v>0.19232983706813617</v>
      </c>
      <c r="D77" s="98">
        <v>3689192</v>
      </c>
      <c r="G77" s="96" t="s">
        <v>472</v>
      </c>
      <c r="H77" s="97">
        <v>0.24197211043652589</v>
      </c>
      <c r="I77" s="98">
        <v>12153634</v>
      </c>
      <c r="K77" s="96" t="s">
        <v>87</v>
      </c>
    </row>
    <row r="78" spans="1:11" s="96" customFormat="1" x14ac:dyDescent="0.2">
      <c r="B78" s="96" t="s">
        <v>473</v>
      </c>
      <c r="C78" s="97">
        <v>0.15783684100717613</v>
      </c>
      <c r="D78" s="98">
        <v>1692097</v>
      </c>
      <c r="G78" s="96" t="s">
        <v>474</v>
      </c>
      <c r="H78" s="97">
        <v>0.12774652598979969</v>
      </c>
      <c r="I78" s="98">
        <v>553960</v>
      </c>
    </row>
    <row r="79" spans="1:11" s="96" customFormat="1" x14ac:dyDescent="0.2">
      <c r="B79" s="96" t="s">
        <v>475</v>
      </c>
      <c r="C79" s="97">
        <v>0.12924861131430432</v>
      </c>
      <c r="D79" s="98">
        <v>11115023</v>
      </c>
      <c r="G79" s="96" t="s">
        <v>476</v>
      </c>
      <c r="H79" s="97">
        <v>9.5036801466017506E-2</v>
      </c>
      <c r="I79" s="98">
        <v>3050596</v>
      </c>
    </row>
    <row r="80" spans="1:11" s="96" customFormat="1" x14ac:dyDescent="0.2">
      <c r="B80" s="96" t="s">
        <v>477</v>
      </c>
      <c r="C80" s="97">
        <v>7.5783662103655822E-2</v>
      </c>
      <c r="D80" s="98">
        <v>3050596</v>
      </c>
      <c r="G80" s="96" t="s">
        <v>478</v>
      </c>
      <c r="H80" s="97">
        <v>8.3547301464953441E-2</v>
      </c>
      <c r="I80" s="98">
        <v>1692097</v>
      </c>
    </row>
    <row r="81" spans="1:19" s="96" customFormat="1" x14ac:dyDescent="0.2">
      <c r="B81" s="96" t="s">
        <v>479</v>
      </c>
      <c r="C81" s="97">
        <v>5.7608636404376683E-2</v>
      </c>
      <c r="D81" s="98">
        <v>2480382</v>
      </c>
      <c r="G81" s="96" t="s">
        <v>480</v>
      </c>
      <c r="H81" s="97">
        <v>5.772328531618897E-2</v>
      </c>
      <c r="I81" s="98">
        <v>3689192</v>
      </c>
    </row>
    <row r="82" spans="1:19" s="96" customFormat="1" x14ac:dyDescent="0.2">
      <c r="B82" s="96" t="s">
        <v>481</v>
      </c>
      <c r="C82" s="97">
        <v>0.38719241210235089</v>
      </c>
      <c r="D82" s="98">
        <v>5920853</v>
      </c>
      <c r="G82" s="96" t="s">
        <v>482</v>
      </c>
      <c r="H82" s="97">
        <v>0.39397397532651446</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144</v>
      </c>
      <c r="D92" s="102">
        <v>0.28844311654746618</v>
      </c>
      <c r="E92" s="102">
        <v>0.26850338874963342</v>
      </c>
      <c r="F92" s="102">
        <v>0.24134412512114328</v>
      </c>
      <c r="G92" s="102">
        <v>0.29624209935649259</v>
      </c>
      <c r="H92" s="102">
        <v>0.22869990368048759</v>
      </c>
      <c r="I92" s="102">
        <v>0.26757187898674284</v>
      </c>
      <c r="J92" s="102">
        <v>0.30225684874310094</v>
      </c>
      <c r="K92" s="102">
        <v>0.26289197604597442</v>
      </c>
      <c r="L92" s="102">
        <v>0.24197211043652589</v>
      </c>
      <c r="M92" s="102">
        <v>0.28212714212983064</v>
      </c>
      <c r="O92" s="96">
        <v>12153634</v>
      </c>
    </row>
    <row r="93" spans="1:19" s="96" customFormat="1" hidden="1" x14ac:dyDescent="0.2">
      <c r="B93" s="96">
        <v>2</v>
      </c>
      <c r="C93" s="96" t="s">
        <v>228</v>
      </c>
      <c r="D93" s="102">
        <v>0.16669526928914136</v>
      </c>
      <c r="E93" s="102">
        <v>0.18301357471573879</v>
      </c>
      <c r="F93" s="102">
        <v>0.28009911143223593</v>
      </c>
      <c r="G93" s="102">
        <v>0.20195406641419714</v>
      </c>
      <c r="H93" s="102">
        <v>0.14850336834647795</v>
      </c>
      <c r="I93" s="102">
        <v>7.3095020309584188E-2</v>
      </c>
      <c r="J93" s="102">
        <v>9.941342908968516E-2</v>
      </c>
      <c r="K93" s="102">
        <v>0.11203896148603144</v>
      </c>
      <c r="L93" s="102">
        <v>0.12774652598979969</v>
      </c>
      <c r="M93" s="102">
        <v>0.14161718511658716</v>
      </c>
      <c r="O93" s="96">
        <v>553960</v>
      </c>
    </row>
    <row r="94" spans="1:19" s="96" customFormat="1" hidden="1" x14ac:dyDescent="0.2">
      <c r="B94" s="96">
        <v>3</v>
      </c>
      <c r="C94" s="96" t="s">
        <v>101</v>
      </c>
      <c r="D94" s="102">
        <v>7.766084010705733E-2</v>
      </c>
      <c r="E94" s="102">
        <v>6.272873528434432E-2</v>
      </c>
      <c r="F94" s="102">
        <v>5.4047954552092971E-2</v>
      </c>
      <c r="G94" s="102">
        <v>5.0494417076834365E-2</v>
      </c>
      <c r="H94" s="102">
        <v>8.4716108082951505E-2</v>
      </c>
      <c r="I94" s="102">
        <v>0.11236286836418859</v>
      </c>
      <c r="J94" s="102">
        <v>9.4034473704803417E-2</v>
      </c>
      <c r="K94" s="102">
        <v>8.98727779616324E-2</v>
      </c>
      <c r="L94" s="102">
        <v>9.5036801466017506E-2</v>
      </c>
      <c r="M94" s="102">
        <v>8.436685404167675E-2</v>
      </c>
      <c r="O94" s="96">
        <v>3050596</v>
      </c>
    </row>
    <row r="95" spans="1:19" s="96" customFormat="1" hidden="1" x14ac:dyDescent="0.2">
      <c r="B95" s="96">
        <v>4</v>
      </c>
      <c r="C95" s="96" t="s">
        <v>248</v>
      </c>
      <c r="D95" s="102"/>
      <c r="E95" s="102"/>
      <c r="F95" s="102">
        <v>4.2213317283214077E-2</v>
      </c>
      <c r="G95" s="102">
        <v>5.4279128604824686E-2</v>
      </c>
      <c r="H95" s="102">
        <v>5.5060288607253018E-2</v>
      </c>
      <c r="I95" s="102">
        <v>7.0223876179935099E-2</v>
      </c>
      <c r="J95" s="102">
        <v>7.7119471138370768E-2</v>
      </c>
      <c r="K95" s="102">
        <v>8.4307305887467057E-2</v>
      </c>
      <c r="L95" s="102">
        <v>8.3547301464953441E-2</v>
      </c>
      <c r="M95" s="102"/>
      <c r="O95" s="96">
        <v>1692097</v>
      </c>
    </row>
    <row r="96" spans="1:19" s="96" customFormat="1" hidden="1" x14ac:dyDescent="0.2">
      <c r="B96" s="96">
        <v>5</v>
      </c>
      <c r="C96" s="96" t="s">
        <v>247</v>
      </c>
      <c r="D96" s="102"/>
      <c r="E96" s="102"/>
      <c r="F96" s="102"/>
      <c r="G96" s="102"/>
      <c r="H96" s="102"/>
      <c r="I96" s="102"/>
      <c r="J96" s="102"/>
      <c r="K96" s="102"/>
      <c r="L96" s="102">
        <v>5.772328531618897E-2</v>
      </c>
      <c r="M96" s="102"/>
      <c r="O96" s="96">
        <v>3689192</v>
      </c>
    </row>
    <row r="97" spans="1:15" s="96" customFormat="1" hidden="1" x14ac:dyDescent="0.2">
      <c r="B97" s="96">
        <v>6</v>
      </c>
      <c r="C97" s="96" t="s">
        <v>147</v>
      </c>
      <c r="D97" s="102"/>
      <c r="E97" s="102"/>
      <c r="F97" s="102"/>
      <c r="G97" s="102"/>
      <c r="H97" s="102"/>
      <c r="I97" s="102">
        <v>7.0051119766595227E-2</v>
      </c>
      <c r="J97" s="102">
        <v>4.7775114974244359E-2</v>
      </c>
      <c r="K97" s="102">
        <v>5.6341652731083387E-2</v>
      </c>
      <c r="L97" s="102"/>
      <c r="M97" s="102">
        <v>5.9641864459385595E-2</v>
      </c>
      <c r="O97" s="96">
        <v>11115023</v>
      </c>
    </row>
    <row r="98" spans="1:15" s="96" customFormat="1" hidden="1" x14ac:dyDescent="0.2">
      <c r="B98" s="96">
        <v>7</v>
      </c>
      <c r="C98" s="96" t="s">
        <v>143</v>
      </c>
      <c r="D98" s="102">
        <v>5.3052624121157708E-2</v>
      </c>
      <c r="E98" s="102">
        <v>5.4930937106562022E-2</v>
      </c>
      <c r="F98" s="102"/>
      <c r="G98" s="102"/>
      <c r="H98" s="102">
        <v>6.0500625547722453E-2</v>
      </c>
      <c r="I98" s="102"/>
      <c r="J98" s="102"/>
      <c r="K98" s="102"/>
      <c r="L98" s="102"/>
      <c r="M98" s="102">
        <v>4.5706426931631738E-2</v>
      </c>
      <c r="O98" s="96">
        <v>2480382</v>
      </c>
    </row>
    <row r="99" spans="1:15" s="96" customFormat="1" hidden="1" x14ac:dyDescent="0.2">
      <c r="B99" s="96">
        <v>8</v>
      </c>
      <c r="C99" s="96" t="s">
        <v>98</v>
      </c>
      <c r="D99" s="102">
        <v>4.1215956840084937E-2</v>
      </c>
      <c r="E99" s="102"/>
      <c r="F99" s="102"/>
      <c r="G99" s="102">
        <v>4.8004724102963497E-2</v>
      </c>
      <c r="H99" s="102"/>
      <c r="I99" s="102"/>
      <c r="J99" s="102"/>
      <c r="K99" s="102"/>
      <c r="L99" s="102"/>
      <c r="M99" s="102"/>
      <c r="O99" s="96">
        <v>7434864</v>
      </c>
    </row>
    <row r="100" spans="1:15" s="96" customFormat="1" hidden="1" x14ac:dyDescent="0.2">
      <c r="B100" s="96">
        <v>9</v>
      </c>
      <c r="C100" s="96" t="s">
        <v>245</v>
      </c>
      <c r="D100" s="102"/>
      <c r="E100" s="102"/>
      <c r="F100" s="102">
        <v>3.7629696669099592E-2</v>
      </c>
      <c r="G100" s="102"/>
      <c r="H100" s="102"/>
      <c r="I100" s="102"/>
      <c r="J100" s="102"/>
      <c r="K100" s="102"/>
      <c r="L100" s="102"/>
      <c r="M100" s="102"/>
      <c r="O100" s="96">
        <v>8497745</v>
      </c>
    </row>
    <row r="101" spans="1:15" s="96" customFormat="1" hidden="1" x14ac:dyDescent="0.2">
      <c r="B101" s="96">
        <v>10</v>
      </c>
      <c r="C101" s="96" t="s">
        <v>104</v>
      </c>
      <c r="D101" s="102"/>
      <c r="E101" s="102">
        <v>4.4650226931498373E-2</v>
      </c>
      <c r="F101" s="102"/>
      <c r="G101" s="102"/>
      <c r="H101" s="102"/>
      <c r="I101" s="102"/>
      <c r="J101" s="102"/>
      <c r="K101" s="102"/>
      <c r="L101" s="102"/>
      <c r="M101" s="102"/>
      <c r="O101" s="96">
        <v>14393110</v>
      </c>
    </row>
    <row r="102" spans="1:15" s="96" customFormat="1" hidden="1" x14ac:dyDescent="0.2">
      <c r="B102" s="96">
        <v>11</v>
      </c>
      <c r="C102" s="96" t="s">
        <v>107</v>
      </c>
      <c r="D102" s="102">
        <v>0.37293219309509251</v>
      </c>
      <c r="E102" s="102">
        <v>0.38617313721222302</v>
      </c>
      <c r="F102" s="102">
        <v>0.34466579494221417</v>
      </c>
      <c r="G102" s="102">
        <v>0.34902556444468774</v>
      </c>
      <c r="H102" s="102">
        <v>0.4225197057351075</v>
      </c>
      <c r="I102" s="102">
        <v>0.40669523639295402</v>
      </c>
      <c r="J102" s="102">
        <v>0.37940066234979536</v>
      </c>
      <c r="K102" s="102">
        <v>0.39454732588781133</v>
      </c>
      <c r="L102" s="102">
        <v>0.39397397532651451</v>
      </c>
      <c r="M102" s="102">
        <v>0.38654052732088812</v>
      </c>
      <c r="O102" s="96">
        <v>5920853</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12</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51</v>
      </c>
      <c r="D120" s="56">
        <v>101</v>
      </c>
      <c r="E120" s="56">
        <v>51</v>
      </c>
      <c r="F120" s="57">
        <v>177</v>
      </c>
    </row>
    <row r="121" spans="1:15" ht="18" customHeight="1" x14ac:dyDescent="0.2">
      <c r="A121" s="194" t="s">
        <v>27</v>
      </c>
      <c r="B121" s="35" t="s">
        <v>62</v>
      </c>
      <c r="C121" s="58">
        <v>7.6149020195007324</v>
      </c>
      <c r="D121" s="58">
        <v>7.8940594880887778</v>
      </c>
      <c r="E121" s="58">
        <v>8.5809803009033203</v>
      </c>
      <c r="F121" s="59">
        <v>8.0400562286376953</v>
      </c>
    </row>
    <row r="122" spans="1:15" ht="18" customHeight="1" x14ac:dyDescent="0.2">
      <c r="A122" s="195"/>
      <c r="B122" s="37" t="s">
        <v>55</v>
      </c>
      <c r="C122" s="60">
        <v>60.980392456054688</v>
      </c>
      <c r="D122" s="60">
        <v>68.712872797899905</v>
      </c>
      <c r="E122" s="60">
        <v>96.627449035644531</v>
      </c>
      <c r="F122" s="61">
        <v>79.35028076171875</v>
      </c>
    </row>
    <row r="123" spans="1:15" ht="18" customHeight="1" x14ac:dyDescent="0.2">
      <c r="A123" s="195"/>
      <c r="B123" s="37" t="s">
        <v>56</v>
      </c>
      <c r="C123" s="60">
        <v>4.2549018859863281</v>
      </c>
      <c r="D123" s="60">
        <v>4.460099125852679</v>
      </c>
      <c r="E123" s="60">
        <v>5.7450981140136719</v>
      </c>
      <c r="F123" s="61">
        <v>4.8727116584777832</v>
      </c>
    </row>
    <row r="124" spans="1:15" ht="18" customHeight="1" x14ac:dyDescent="0.2">
      <c r="A124" s="195"/>
      <c r="B124" s="37" t="s">
        <v>57</v>
      </c>
      <c r="C124" s="60">
        <v>50.721992492675781</v>
      </c>
      <c r="D124" s="60">
        <v>56.497328276681429</v>
      </c>
      <c r="E124" s="60">
        <v>74.86505126953125</v>
      </c>
      <c r="F124" s="61">
        <v>62.950794219970703</v>
      </c>
    </row>
    <row r="125" spans="1:15" ht="18" customHeight="1" x14ac:dyDescent="0.2">
      <c r="A125" s="195"/>
      <c r="B125" s="37" t="s">
        <v>58</v>
      </c>
      <c r="C125" s="33">
        <v>17.025163650512695</v>
      </c>
      <c r="D125" s="33">
        <v>13.770395581084903</v>
      </c>
      <c r="E125" s="33">
        <v>9.8861017227172852</v>
      </c>
      <c r="F125" s="62">
        <v>18.49797248840332</v>
      </c>
    </row>
    <row r="126" spans="1:15" ht="18" customHeight="1" x14ac:dyDescent="0.2">
      <c r="A126" s="195"/>
      <c r="B126" s="37" t="s">
        <v>63</v>
      </c>
      <c r="C126" s="33">
        <f ca="1">65.18615625*OFFSET($L$112,MATCH($N$1,$C$112:$C$113,0)-1,0)</f>
        <v>65.186156249999996</v>
      </c>
      <c r="D126" s="33">
        <f ca="1">38.2556288675743*OFFSET($L$112,MATCH($N$1,$C$112:$C$113,0)-1,0)</f>
        <v>38.255628867574302</v>
      </c>
      <c r="E126" s="33">
        <f ca="1">28.357955078125*OFFSET($L$112,MATCH($N$1,$C$112:$C$113,0)-1,0)</f>
        <v>28.357955078124998</v>
      </c>
      <c r="F126" s="62">
        <f ca="1">41.1821015625*OFFSET($L$112,MATCH($N$1,$C$112:$C$113,0)-1,0)</f>
        <v>41.182101562500002</v>
      </c>
    </row>
    <row r="127" spans="1:15" ht="18" customHeight="1" x14ac:dyDescent="0.2">
      <c r="A127" s="195"/>
      <c r="B127" s="37" t="s">
        <v>60</v>
      </c>
      <c r="C127" s="60">
        <v>53.784313201904297</v>
      </c>
      <c r="D127" s="60">
        <v>69.099008239141781</v>
      </c>
      <c r="E127" s="60">
        <v>86.725486755371094</v>
      </c>
      <c r="F127" s="61">
        <v>63.604518890380859</v>
      </c>
    </row>
    <row r="128" spans="1:15" ht="18" customHeight="1" x14ac:dyDescent="0.2">
      <c r="A128" s="195"/>
      <c r="B128" s="37" t="s">
        <v>64</v>
      </c>
      <c r="C128" s="60">
        <v>25.294116973876953</v>
      </c>
      <c r="D128" s="60">
        <v>25.546336372299951</v>
      </c>
      <c r="E128" s="60">
        <v>26.559999465942383</v>
      </c>
      <c r="F128" s="61">
        <v>26.201183319091797</v>
      </c>
    </row>
    <row r="129" spans="1:15" ht="18" customHeight="1" x14ac:dyDescent="0.2">
      <c r="A129" s="195"/>
      <c r="B129" s="37" t="s">
        <v>65</v>
      </c>
      <c r="C129" s="63">
        <v>0.31654515862464905</v>
      </c>
      <c r="D129" s="63">
        <v>0.19928499600786648</v>
      </c>
      <c r="E129" s="63">
        <v>0.11399304121732712</v>
      </c>
      <c r="F129" s="64">
        <v>0.29082795977592468</v>
      </c>
    </row>
    <row r="130" spans="1:15" ht="18" customHeight="1" x14ac:dyDescent="0.2">
      <c r="A130" s="196"/>
      <c r="B130" s="39" t="s">
        <v>28</v>
      </c>
      <c r="C130" s="40">
        <f ca="1">3828.81231500156*OFFSET($L$112,MATCH($N$1,$C$112:$C$113,0)-1,0)</f>
        <v>3828.8123150015599</v>
      </c>
      <c r="D130" s="40">
        <f ca="1">2778.10674662988*OFFSET($L$112,MATCH($N$1,$C$112:$C$113,0)-1,0)</f>
        <v>2778.10674662988</v>
      </c>
      <c r="E130" s="40">
        <f ca="1">2868.46685109068*OFFSET($L$112,MATCH($N$1,$C$112:$C$113,0)-1,0)</f>
        <v>2868.4668510906799</v>
      </c>
      <c r="F130" s="65">
        <f ca="1">2226*OFFSET($L$112,MATCH($N$1,$C$112:$C$113,0)-1,0)</f>
        <v>2226</v>
      </c>
    </row>
    <row r="131" spans="1:15" ht="18" customHeight="1" x14ac:dyDescent="0.2">
      <c r="A131" s="205" t="s">
        <v>29</v>
      </c>
      <c r="B131" s="35" t="s">
        <v>66</v>
      </c>
      <c r="C131" s="66">
        <v>5.2315994373494936</v>
      </c>
      <c r="D131" s="66">
        <v>2.8297885880695279</v>
      </c>
      <c r="E131" s="66">
        <v>1.2497488573988171</v>
      </c>
      <c r="F131" s="67">
        <v>3.7220953638239056</v>
      </c>
    </row>
    <row r="132" spans="1:15" ht="18" customHeight="1" x14ac:dyDescent="0.2">
      <c r="A132" s="206"/>
      <c r="B132" s="37" t="s">
        <v>67</v>
      </c>
      <c r="C132" s="63">
        <f ca="1">20.030812352879*OFFSET($L$112,MATCH($N$1,$C$112:$C$113,0)-1,0)</f>
        <v>20.030812352879</v>
      </c>
      <c r="D132" s="63">
        <f ca="1">7.8614547680522*OFFSET($L$112,MATCH($N$1,$C$112:$C$113,0)-1,0)</f>
        <v>7.8614547680521998</v>
      </c>
      <c r="E132" s="63">
        <f ca="1">3.58486316963696*OFFSET($L$112,MATCH($N$1,$C$112:$C$113,0)-1,0)</f>
        <v>3.5848631696369599</v>
      </c>
      <c r="F132" s="64">
        <f ca="1">8.28651407036109*OFFSET($L$112,MATCH($N$1,$C$112:$C$113,0)-1,0)</f>
        <v>8.2865140703610898</v>
      </c>
    </row>
    <row r="133" spans="1:15" ht="18" customHeight="1" x14ac:dyDescent="0.2">
      <c r="A133" s="206"/>
      <c r="B133" s="37" t="s">
        <v>11</v>
      </c>
      <c r="C133" s="63">
        <f ca="1">11.9190945797354*OFFSET($L$112,MATCH($N$1,$C$112:$C$113,0)-1,0)</f>
        <v>11.9190945797354</v>
      </c>
      <c r="D133" s="63">
        <f ca="1">5.11707236420091*OFFSET($L$112,MATCH($N$1,$C$112:$C$113,0)-1,0)</f>
        <v>5.1170723642009097</v>
      </c>
      <c r="E133" s="63">
        <f ca="1">2.70097917095148*OFFSET($L$112,MATCH($N$1,$C$112:$C$113,0)-1,0)</f>
        <v>2.7009791709514799</v>
      </c>
      <c r="F133" s="64">
        <f ca="1">4.12710116635752*OFFSET($L$112,MATCH($N$1,$C$112:$C$113,0)-1,0)</f>
        <v>4.1271011663575203</v>
      </c>
    </row>
    <row r="134" spans="1:15" ht="18" customHeight="1" x14ac:dyDescent="0.2">
      <c r="A134" s="207"/>
      <c r="B134" s="39" t="s">
        <v>12</v>
      </c>
      <c r="C134" s="68">
        <f ca="1">8.11171777314364*OFFSET($L$112,MATCH($N$1,$C$112:$C$113,0)-1,0)</f>
        <v>8.1117177731436403</v>
      </c>
      <c r="D134" s="68">
        <f ca="1">2.74438240385128*OFFSET($L$112,MATCH($N$1,$C$112:$C$113,0)-1,0)</f>
        <v>2.7443824038512799</v>
      </c>
      <c r="E134" s="68">
        <f ca="1">0.883883998685484*OFFSET($L$112,MATCH($N$1,$C$112:$C$113,0)-1,0)</f>
        <v>0.88388399868548395</v>
      </c>
      <c r="F134" s="69">
        <f ca="1">4.15941290400357*OFFSET($L$112,MATCH($N$1,$C$112:$C$113,0)-1,0)</f>
        <v>4.1594129040035703</v>
      </c>
    </row>
    <row r="135" spans="1:15" ht="18" customHeight="1" x14ac:dyDescent="0.2">
      <c r="A135" s="208" t="s">
        <v>49</v>
      </c>
      <c r="B135" s="37" t="s">
        <v>109</v>
      </c>
      <c r="C135" s="70">
        <f ca="1">2.05363720703125*OFFSET($L$112,MATCH($N$1,$C$112:$C$113,0)-1,0)</f>
        <v>2.0536372070312501</v>
      </c>
      <c r="D135" s="70">
        <f ca="1">3.34249867052135*OFFSET($L$112,MATCH($N$1,$C$112:$C$113,0)-1,0)</f>
        <v>3.34249867052135</v>
      </c>
      <c r="E135" s="70">
        <f ca="1">5.3853505859375*OFFSET($L$112,MATCH($N$1,$C$112:$C$113,0)-1,0)</f>
        <v>5.3853505859375002</v>
      </c>
      <c r="F135" s="71">
        <f ca="1">2.386015625*OFFSET($L$112,MATCH($N$1,$C$112:$C$113,0)-1,0)</f>
        <v>2.3860156250000002</v>
      </c>
    </row>
    <row r="136" spans="1:15" ht="18" customHeight="1" x14ac:dyDescent="0.2">
      <c r="A136" s="209"/>
      <c r="B136" s="37" t="s">
        <v>110</v>
      </c>
      <c r="C136" s="31">
        <v>3944.1174502410281</v>
      </c>
      <c r="D136" s="31">
        <v>6407.1285902365471</v>
      </c>
      <c r="E136" s="31">
        <v>10331.960326986329</v>
      </c>
      <c r="F136" s="72">
        <v>6557.6271186440681</v>
      </c>
    </row>
    <row r="137" spans="1:15" ht="18" customHeight="1" x14ac:dyDescent="0.2">
      <c r="A137" s="209"/>
      <c r="B137" s="37" t="s">
        <v>111</v>
      </c>
      <c r="C137" s="31">
        <v>73.332115173339844</v>
      </c>
      <c r="D137" s="31">
        <v>92.723886398808958</v>
      </c>
      <c r="E137" s="31">
        <v>119.13407135009766</v>
      </c>
      <c r="F137" s="72">
        <v>103.10002136230469</v>
      </c>
    </row>
    <row r="138" spans="1:15" ht="18" customHeight="1" x14ac:dyDescent="0.2">
      <c r="A138" s="209"/>
      <c r="B138" s="37" t="s">
        <v>112</v>
      </c>
      <c r="C138" s="31">
        <f ca="1">38.182828500979*OFFSET($L$112,MATCH($N$1,$C$112:$C$113,0)-1,0)</f>
        <v>38.182828500978999</v>
      </c>
      <c r="D138" s="31">
        <f ca="1">48.3725997767354*OFFSET($L$112,MATCH($N$1,$C$112:$C$113,0)-1,0)</f>
        <v>48.372599776735399</v>
      </c>
      <c r="E138" s="31">
        <f ca="1">62.0965161155924*OFFSET($L$112,MATCH($N$1,$C$112:$C$113,0)-1,0)</f>
        <v>62.096516115592401</v>
      </c>
      <c r="F138" s="72">
        <f ca="1">37.5133035612167*OFFSET($L$112,MATCH($N$1,$C$112:$C$113,0)-1,0)</f>
        <v>37.513303561216702</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120.62363975981*OFFSET($L$112,MATCH($N$1,$C$112:$C$113,0)-1,0)</f>
        <v>120.62363975981</v>
      </c>
      <c r="D139" s="31">
        <f ca="1">242.730766217975*OFFSET($L$112,MATCH($N$1,$C$112:$C$113,0)-1,0)</f>
        <v>242.730766217975</v>
      </c>
      <c r="E139" s="31">
        <f ca="1">544.739548204577*OFFSET($L$112,MATCH($N$1,$C$112:$C$113,0)-1,0)</f>
        <v>544.73954820457698</v>
      </c>
      <c r="F139" s="72">
        <f ca="1">128.987954030953*OFFSET($L$112,MATCH($N$1,$C$112:$C$113,0)-1,0)</f>
        <v>128.98795403095301</v>
      </c>
      <c r="I139" s="48"/>
      <c r="K139" s="73" t="s">
        <v>114</v>
      </c>
      <c r="L139" s="74">
        <f t="shared" ref="L139:M141" ca="1" si="2">C140</f>
        <v>66.553585937500003</v>
      </c>
      <c r="M139" s="74">
        <f t="shared" ca="1" si="2"/>
        <v>39.058129873143599</v>
      </c>
      <c r="N139" s="74">
        <f ca="1">E140</f>
        <v>28.952830078125</v>
      </c>
      <c r="O139" s="74"/>
    </row>
    <row r="140" spans="1:15" ht="18" customHeight="1" x14ac:dyDescent="0.2">
      <c r="A140" s="187" t="s">
        <v>50</v>
      </c>
      <c r="B140" s="35" t="s">
        <v>115</v>
      </c>
      <c r="C140" s="75">
        <f ca="1">66.5535859375*OFFSET($L$112,MATCH($N$1,$C$112:$C$113,0)-1,0)</f>
        <v>66.553585937500003</v>
      </c>
      <c r="D140" s="75">
        <f ca="1">39.0581298731436*OFFSET($L$112,MATCH($N$1,$C$112:$C$113,0)-1,0)</f>
        <v>39.058129873143599</v>
      </c>
      <c r="E140" s="75">
        <f ca="1">28.952830078125*OFFSET($L$112,MATCH($N$1,$C$112:$C$113,0)-1,0)</f>
        <v>28.952830078125</v>
      </c>
      <c r="F140" s="76">
        <f ca="1">49.3876875*OFFSET($L$112,MATCH($N$1,$C$112:$C$113,0)-1,0)</f>
        <v>49.387687499999998</v>
      </c>
      <c r="I140" s="48"/>
      <c r="K140" s="73" t="s">
        <v>116</v>
      </c>
      <c r="L140" s="74">
        <f t="shared" ca="1" si="2"/>
        <v>40.155671875000003</v>
      </c>
      <c r="M140" s="74">
        <f t="shared" ca="1" si="2"/>
        <v>25.703340230507401</v>
      </c>
      <c r="N140" s="74">
        <f ca="1">E141</f>
        <v>21.960892578125002</v>
      </c>
      <c r="O140" s="74"/>
    </row>
    <row r="141" spans="1:15" ht="18" customHeight="1" x14ac:dyDescent="0.2">
      <c r="A141" s="188"/>
      <c r="B141" s="37" t="s">
        <v>117</v>
      </c>
      <c r="C141" s="31">
        <f ca="1">40.155671875*OFFSET($L$112,MATCH($N$1,$C$112:$C$113,0)-1,0)</f>
        <v>40.155671875000003</v>
      </c>
      <c r="D141" s="31">
        <f ca="1">25.7033402305074*OFFSET($L$112,MATCH($N$1,$C$112:$C$113,0)-1,0)</f>
        <v>25.703340230507401</v>
      </c>
      <c r="E141" s="31">
        <f ca="1">21.960892578125*OFFSET($L$112,MATCH($N$1,$C$112:$C$113,0)-1,0)</f>
        <v>21.960892578125002</v>
      </c>
      <c r="F141" s="72">
        <f ca="1">28.71634765625*OFFSET($L$112,MATCH($N$1,$C$112:$C$113,0)-1,0)</f>
        <v>28.716347656250001</v>
      </c>
      <c r="I141" s="48"/>
      <c r="K141" s="73" t="s">
        <v>118</v>
      </c>
      <c r="L141" s="74">
        <f t="shared" ca="1" si="2"/>
        <v>26.3979140625</v>
      </c>
      <c r="M141" s="74">
        <f t="shared" ca="1" si="2"/>
        <v>13.354789642636099</v>
      </c>
      <c r="N141" s="74">
        <f ca="1">E142</f>
        <v>6.9919374999999997</v>
      </c>
      <c r="O141" s="74"/>
    </row>
    <row r="142" spans="1:15" ht="18" customHeight="1" x14ac:dyDescent="0.2">
      <c r="A142" s="189"/>
      <c r="B142" s="39" t="s">
        <v>119</v>
      </c>
      <c r="C142" s="40">
        <f ca="1">26.3979140625*OFFSET($L$112,MATCH($N$1,$C$112:$C$113,0)-1,0)</f>
        <v>26.3979140625</v>
      </c>
      <c r="D142" s="40">
        <f ca="1">13.3547896426361*OFFSET($L$112,MATCH($N$1,$C$112:$C$113,0)-1,0)</f>
        <v>13.354789642636099</v>
      </c>
      <c r="E142" s="40">
        <f ca="1">6.9919375*OFFSET($L$112,MATCH($N$1,$C$112:$C$113,0)-1,0)</f>
        <v>6.9919374999999997</v>
      </c>
      <c r="F142" s="65">
        <f ca="1">20.671341796875*OFFSET($L$112,MATCH($N$1,$C$112:$C$113,0)-1,0)</f>
        <v>20.671341796875002</v>
      </c>
      <c r="I142" s="48"/>
      <c r="K142" s="73" t="s">
        <v>120</v>
      </c>
      <c r="L142" s="77">
        <f ca="1">IFERROR(L140/L$139,"")</f>
        <v>0.60335850141433267</v>
      </c>
      <c r="M142" s="77">
        <f t="shared" ref="M142:N143" ca="1" si="3">IFERROR(M140/M$139,"")</f>
        <v>0.65807913266684681</v>
      </c>
      <c r="N142" s="77">
        <f t="shared" ca="1" si="3"/>
        <v>0.75850590491039138</v>
      </c>
      <c r="O142" s="77"/>
    </row>
    <row r="143" spans="1:15" ht="18" customHeight="1" x14ac:dyDescent="0.2">
      <c r="I143" s="48"/>
      <c r="K143" s="73" t="s">
        <v>121</v>
      </c>
      <c r="L143" s="77">
        <f ca="1">IFERROR(L141/L$139,"")</f>
        <v>0.39664149858566738</v>
      </c>
      <c r="M143" s="77">
        <f t="shared" ca="1" si="3"/>
        <v>0.34192086733315064</v>
      </c>
      <c r="N143" s="77">
        <f t="shared" ca="1" si="3"/>
        <v>0.24149409508960862</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12</v>
      </c>
      <c r="B161" s="53"/>
      <c r="C161" s="78" t="s">
        <v>45</v>
      </c>
      <c r="D161" s="78" t="s">
        <v>122</v>
      </c>
      <c r="E161" s="78" t="s">
        <v>47</v>
      </c>
      <c r="F161" s="78" t="s">
        <v>123</v>
      </c>
      <c r="G161" s="79">
        <v>11</v>
      </c>
      <c r="H161" s="78"/>
      <c r="I161" s="78" t="s">
        <v>45</v>
      </c>
      <c r="J161" s="78" t="s">
        <v>122</v>
      </c>
      <c r="K161" s="78" t="s">
        <v>47</v>
      </c>
      <c r="L161" s="53" t="s">
        <v>123</v>
      </c>
      <c r="R161" s="21"/>
      <c r="S161" s="21"/>
    </row>
    <row r="162" spans="1:19" s="48" customFormat="1" x14ac:dyDescent="0.2">
      <c r="A162" s="49">
        <v>1</v>
      </c>
      <c r="B162" s="53" t="s">
        <v>247</v>
      </c>
      <c r="C162" s="53">
        <v>0</v>
      </c>
      <c r="D162" s="53">
        <v>0.29854156880331117</v>
      </c>
      <c r="E162" s="53">
        <v>0</v>
      </c>
      <c r="F162" s="49">
        <v>3689192</v>
      </c>
      <c r="G162" s="49">
        <v>1</v>
      </c>
      <c r="H162" s="53" t="s">
        <v>144</v>
      </c>
      <c r="I162" s="53">
        <v>8.770865591881527E-2</v>
      </c>
      <c r="J162" s="53">
        <v>0.26771688332975296</v>
      </c>
      <c r="K162" s="53">
        <v>0.2526376467522955</v>
      </c>
      <c r="L162" s="49">
        <v>12153634</v>
      </c>
      <c r="R162" s="21"/>
      <c r="S162" s="21"/>
    </row>
    <row r="163" spans="1:19" s="48" customFormat="1" x14ac:dyDescent="0.2">
      <c r="A163" s="49">
        <v>2</v>
      </c>
      <c r="B163" s="53" t="s">
        <v>196</v>
      </c>
      <c r="C163" s="53">
        <v>6.5485423684063654E-2</v>
      </c>
      <c r="D163" s="53">
        <v>0.17254015473322867</v>
      </c>
      <c r="E163" s="53">
        <v>0</v>
      </c>
      <c r="F163" s="49">
        <v>11115023</v>
      </c>
      <c r="G163" s="49">
        <v>2</v>
      </c>
      <c r="H163" s="53" t="s">
        <v>101</v>
      </c>
      <c r="I163" s="53">
        <v>2.5588352324180923E-2</v>
      </c>
      <c r="J163" s="53">
        <v>0.1283850417624095</v>
      </c>
      <c r="K163" s="53">
        <v>4.7535610235377612E-2</v>
      </c>
      <c r="L163" s="49">
        <v>3050596</v>
      </c>
      <c r="N163" s="48" t="s">
        <v>124</v>
      </c>
      <c r="R163" s="21"/>
      <c r="S163" s="21"/>
    </row>
    <row r="164" spans="1:19" s="48" customFormat="1" x14ac:dyDescent="0.2">
      <c r="A164" s="49">
        <v>3</v>
      </c>
      <c r="B164" s="53" t="s">
        <v>248</v>
      </c>
      <c r="C164" s="53">
        <v>2.5691383333588735E-2</v>
      </c>
      <c r="D164" s="53">
        <v>0.13512810868409497</v>
      </c>
      <c r="E164" s="53">
        <v>0.41510224021215714</v>
      </c>
      <c r="F164" s="49">
        <v>1692097</v>
      </c>
      <c r="G164" s="49">
        <v>3</v>
      </c>
      <c r="H164" s="53" t="s">
        <v>228</v>
      </c>
      <c r="I164" s="53">
        <v>4.022962058993363E-2</v>
      </c>
      <c r="J164" s="53">
        <v>0.12814295124246564</v>
      </c>
      <c r="K164" s="53">
        <v>0.18826047684076369</v>
      </c>
      <c r="L164" s="49">
        <v>553960</v>
      </c>
      <c r="N164" s="48" t="s">
        <v>125</v>
      </c>
      <c r="R164" s="21"/>
      <c r="S164" s="21"/>
    </row>
    <row r="165" spans="1:19" s="48" customFormat="1" x14ac:dyDescent="0.2">
      <c r="A165" s="49">
        <v>4</v>
      </c>
      <c r="B165" s="53" t="s">
        <v>101</v>
      </c>
      <c r="C165" s="53">
        <v>3.1882334569618316E-2</v>
      </c>
      <c r="D165" s="53">
        <v>9.2865118888522086E-2</v>
      </c>
      <c r="E165" s="53">
        <v>0</v>
      </c>
      <c r="F165" s="49">
        <v>3050596</v>
      </c>
      <c r="G165" s="49">
        <v>4</v>
      </c>
      <c r="H165" s="53" t="s">
        <v>247</v>
      </c>
      <c r="I165" s="53">
        <v>0</v>
      </c>
      <c r="J165" s="53">
        <v>9.8809735595492193E-2</v>
      </c>
      <c r="K165" s="53">
        <v>0</v>
      </c>
      <c r="L165" s="49">
        <v>3689192</v>
      </c>
      <c r="R165" s="21"/>
      <c r="S165" s="21"/>
    </row>
    <row r="166" spans="1:19" s="48" customFormat="1" x14ac:dyDescent="0.2">
      <c r="A166" s="49">
        <v>5</v>
      </c>
      <c r="B166" s="53" t="s">
        <v>104</v>
      </c>
      <c r="C166" s="53">
        <v>0</v>
      </c>
      <c r="D166" s="53">
        <v>8.1167425246343017E-2</v>
      </c>
      <c r="E166" s="53">
        <v>0</v>
      </c>
      <c r="F166" s="49">
        <v>2480382</v>
      </c>
      <c r="G166" s="49">
        <v>5</v>
      </c>
      <c r="H166" s="53" t="s">
        <v>104</v>
      </c>
      <c r="I166" s="53">
        <v>0</v>
      </c>
      <c r="J166" s="53">
        <v>7.9145102813515417E-2</v>
      </c>
      <c r="K166" s="53">
        <v>0</v>
      </c>
      <c r="L166" s="49">
        <v>2480382</v>
      </c>
      <c r="R166" s="21"/>
      <c r="S166" s="21"/>
    </row>
    <row r="167" spans="1:19" s="48" customFormat="1" x14ac:dyDescent="0.2">
      <c r="A167" s="49">
        <v>6</v>
      </c>
      <c r="B167" s="53" t="s">
        <v>106</v>
      </c>
      <c r="C167" s="53">
        <v>0</v>
      </c>
      <c r="D167" s="53">
        <v>0</v>
      </c>
      <c r="E167" s="53">
        <v>0.11165307777451668</v>
      </c>
      <c r="F167" s="49">
        <v>7434864</v>
      </c>
      <c r="G167" s="49">
        <v>6</v>
      </c>
      <c r="H167" s="53" t="s">
        <v>248</v>
      </c>
      <c r="I167" s="53">
        <v>0</v>
      </c>
      <c r="J167" s="53">
        <v>0</v>
      </c>
      <c r="K167" s="53">
        <v>0.1863577758788284</v>
      </c>
      <c r="L167" s="49">
        <v>1692097</v>
      </c>
      <c r="R167" s="21"/>
      <c r="S167" s="21"/>
    </row>
    <row r="168" spans="1:19" s="48" customFormat="1" x14ac:dyDescent="0.2">
      <c r="A168" s="49">
        <v>7</v>
      </c>
      <c r="B168" s="53" t="s">
        <v>144</v>
      </c>
      <c r="C168" s="53">
        <v>3.3561165300407973E-2</v>
      </c>
      <c r="D168" s="53">
        <v>0</v>
      </c>
      <c r="E168" s="53">
        <v>8.2430435260778229E-2</v>
      </c>
      <c r="F168" s="49">
        <v>12153634</v>
      </c>
      <c r="G168" s="49">
        <v>7</v>
      </c>
      <c r="H168" s="53" t="s">
        <v>106</v>
      </c>
      <c r="I168" s="53">
        <v>0</v>
      </c>
      <c r="J168" s="53">
        <v>0</v>
      </c>
      <c r="K168" s="53">
        <v>5.0256631468283651E-2</v>
      </c>
      <c r="L168" s="49">
        <v>7434864</v>
      </c>
      <c r="R168" s="21"/>
      <c r="S168" s="21"/>
    </row>
    <row r="169" spans="1:19" s="48" customFormat="1" x14ac:dyDescent="0.2">
      <c r="A169" s="49">
        <v>8</v>
      </c>
      <c r="B169" s="53" t="s">
        <v>228</v>
      </c>
      <c r="C169" s="53">
        <v>0</v>
      </c>
      <c r="D169" s="53">
        <v>0</v>
      </c>
      <c r="E169" s="53">
        <v>6.5296463294707924E-2</v>
      </c>
      <c r="F169" s="49">
        <v>553960</v>
      </c>
      <c r="G169" s="49">
        <v>8</v>
      </c>
      <c r="H169" s="53" t="s">
        <v>245</v>
      </c>
      <c r="I169" s="53">
        <v>1.2282039302355351E-2</v>
      </c>
      <c r="J169" s="53">
        <v>0</v>
      </c>
      <c r="K169" s="53">
        <v>0</v>
      </c>
      <c r="L169" s="49">
        <v>2887140</v>
      </c>
      <c r="R169" s="21"/>
      <c r="S169" s="21"/>
    </row>
    <row r="170" spans="1:19" s="48" customFormat="1" x14ac:dyDescent="0.2">
      <c r="A170" s="49">
        <v>9</v>
      </c>
      <c r="B170" s="53" t="s">
        <v>103</v>
      </c>
      <c r="C170" s="53">
        <v>0</v>
      </c>
      <c r="D170" s="53">
        <v>0</v>
      </c>
      <c r="E170" s="53">
        <v>5.2345619788519537E-2</v>
      </c>
      <c r="F170" s="49">
        <v>8497745</v>
      </c>
      <c r="G170" s="49">
        <v>9</v>
      </c>
      <c r="H170" s="53" t="s">
        <v>194</v>
      </c>
      <c r="I170" s="53">
        <v>1.1351161386998347E-2</v>
      </c>
      <c r="J170" s="53">
        <v>0</v>
      </c>
      <c r="K170" s="53">
        <v>0</v>
      </c>
      <c r="L170" s="49">
        <v>14393110</v>
      </c>
      <c r="R170" s="21"/>
      <c r="S170" s="21"/>
    </row>
    <row r="171" spans="1:19" s="48" customFormat="1" x14ac:dyDescent="0.2">
      <c r="A171" s="49">
        <v>10</v>
      </c>
      <c r="B171" s="53" t="s">
        <v>194</v>
      </c>
      <c r="C171" s="53">
        <v>2.9358617618895716E-2</v>
      </c>
      <c r="D171" s="53">
        <v>0</v>
      </c>
      <c r="E171" s="53">
        <v>0</v>
      </c>
      <c r="F171" s="49">
        <v>14393110</v>
      </c>
      <c r="G171" s="49">
        <v>10</v>
      </c>
      <c r="H171" s="53" t="s">
        <v>107</v>
      </c>
      <c r="I171" s="53">
        <v>0.82284017047771651</v>
      </c>
      <c r="J171" s="53">
        <v>0.29780028525636426</v>
      </c>
      <c r="K171" s="53">
        <v>0.27495185882445128</v>
      </c>
      <c r="L171" s="49">
        <v>5920853</v>
      </c>
      <c r="R171" s="21"/>
      <c r="S171" s="21"/>
    </row>
    <row r="172" spans="1:19" s="48" customFormat="1" x14ac:dyDescent="0.2">
      <c r="A172" s="49">
        <v>11</v>
      </c>
      <c r="B172" s="53" t="s">
        <v>107</v>
      </c>
      <c r="C172" s="53">
        <v>0.81402107549342562</v>
      </c>
      <c r="D172" s="53">
        <v>0.21975762364450002</v>
      </c>
      <c r="E172" s="53">
        <v>0.27317216366932051</v>
      </c>
      <c r="F172" s="49">
        <v>5920853</v>
      </c>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09DA073B-2D58-4979-9E19-D11CCAC62778}">
      <formula1>$C$112:$C$113</formula1>
    </dataValidation>
  </dataValidations>
  <hyperlinks>
    <hyperlink ref="O1:P1" location="Home_page" display="Back to home page" xr:uid="{75D6FD18-6162-4435-A987-228E78BFBFE2}"/>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4ED34307-0E1E-4B20-8B5C-DB246BEF5E7C}">
          <x14:colorSeries rgb="FF323232"/>
          <x14:colorNegative rgb="FFD00000"/>
          <x14:colorAxis rgb="FF000000"/>
          <x14:colorMarkers rgb="FFD00000"/>
          <x14:colorFirst rgb="FFD00000"/>
          <x14:colorLast rgb="FFD00000"/>
          <x14:colorHigh rgb="FFD00000"/>
          <x14:colorLow rgb="FFD00000"/>
          <x14:sparklines>
            <x14:sparkline>
              <xm:f>'U10m drift-fixed nets'!D3:N3</xm:f>
              <xm:sqref>C3</xm:sqref>
            </x14:sparkline>
            <x14:sparkline>
              <xm:f>'U10m drift-fixed nets'!D4:N4</xm:f>
              <xm:sqref>C4</xm:sqref>
            </x14:sparkline>
            <x14:sparkline>
              <xm:f>'U10m drift-fixed nets'!D5:N5</xm:f>
              <xm:sqref>C5</xm:sqref>
            </x14:sparkline>
            <x14:sparkline>
              <xm:f>'U10m drift-fixed nets'!D6:N6</xm:f>
              <xm:sqref>C6</xm:sqref>
            </x14:sparkline>
            <x14:sparkline>
              <xm:f>'U10m drift-fixed nets'!D7:N7</xm:f>
              <xm:sqref>C7</xm:sqref>
            </x14:sparkline>
            <x14:sparkline>
              <xm:f>'U10m drift-fixed nets'!D8:N8</xm:f>
              <xm:sqref>C8</xm:sqref>
            </x14:sparkline>
            <x14:sparkline>
              <xm:f>'U10m drift-fixed nets'!D9:N9</xm:f>
              <xm:sqref>C9</xm:sqref>
            </x14:sparkline>
            <x14:sparkline>
              <xm:f>'U10m drift-fixed nets'!D10:N10</xm:f>
              <xm:sqref>C10</xm:sqref>
            </x14:sparkline>
            <x14:sparkline>
              <xm:f>'U10m drift-fixed nets'!D11:N11</xm:f>
              <xm:sqref>C11</xm:sqref>
            </x14:sparkline>
            <x14:sparkline>
              <xm:f>'U10m drift-fixed nets'!D12:N12</xm:f>
              <xm:sqref>C12</xm:sqref>
            </x14:sparkline>
            <x14:sparkline>
              <xm:f>'U10m drift-fixed nets'!D13:N13</xm:f>
              <xm:sqref>C13</xm:sqref>
            </x14:sparkline>
            <x14:sparkline>
              <xm:f>'U10m drift-fixed nets'!D14:N14</xm:f>
              <xm:sqref>C14</xm:sqref>
            </x14:sparkline>
            <x14:sparkline>
              <xm:f>'U10m drift-fixed nets'!D15:N15</xm:f>
              <xm:sqref>C15</xm:sqref>
            </x14:sparkline>
            <x14:sparkline>
              <xm:f>'U10m drift-fixed nets'!D16:N16</xm:f>
              <xm:sqref>C16</xm:sqref>
            </x14:sparkline>
            <x14:sparkline>
              <xm:f>'U10m drift-fixed nets'!D17:N17</xm:f>
              <xm:sqref>C17</xm:sqref>
            </x14:sparkline>
            <x14:sparkline>
              <xm:f>'U10m drift-fixed nets'!D18:N18</xm:f>
              <xm:sqref>C18</xm:sqref>
            </x14:sparkline>
            <x14:sparkline>
              <xm:f>'U10m drift-fixed nets'!D19:N19</xm:f>
              <xm:sqref>C19</xm:sqref>
            </x14:sparkline>
            <x14:sparkline>
              <xm:f>'U10m drift-fixed nets'!D20:N20</xm:f>
              <xm:sqref>C20</xm:sqref>
            </x14:sparkline>
            <x14:sparkline>
              <xm:f>'U10m drift-fixed nets'!D21:N21</xm:f>
              <xm:sqref>C21</xm:sqref>
            </x14:sparkline>
            <x14:sparkline>
              <xm:f>'U10m drift-fixed nets'!D22:N22</xm:f>
              <xm:sqref>C22</xm:sqref>
            </x14:sparkline>
            <x14:sparkline>
              <xm:f>'U10m drift-fixed nets'!D23:N23</xm:f>
              <xm:sqref>C23</xm:sqref>
            </x14:sparkline>
            <x14:sparkline>
              <xm:f>'U10m drift-fixed nets'!D24:N24</xm:f>
              <xm:sqref>C24</xm:sqref>
            </x14:sparkline>
            <x14:sparkline>
              <xm:f>'U10m drift-fixed nets'!D25:N25</xm:f>
              <xm:sqref>C25</xm:sqref>
            </x14:sparkline>
            <x14:sparkline>
              <xm:f>'U10m drift-fixed nets'!D26:N26</xm:f>
              <xm:sqref>C26</xm:sqref>
            </x14:sparkline>
            <x14:sparkline>
              <xm:f>'U10m drift-fixed nets'!D27:N27</xm:f>
              <xm:sqref>C27</xm:sqref>
            </x14:sparkline>
            <x14:sparkline>
              <xm:f>'U10m drift-fixed nets'!D28:N28</xm:f>
              <xm:sqref>C28</xm:sqref>
            </x14:sparkline>
            <x14:sparkline>
              <xm:f>'U10m drift-fixed nets'!D29:N29</xm:f>
              <xm:sqref>C29</xm:sqref>
            </x14:sparkline>
            <x14:sparkline>
              <xm:f>'U10m drift-fixed nets'!D30:N30</xm:f>
              <xm:sqref>C30</xm:sqref>
            </x14:sparkline>
            <x14:sparkline>
              <xm:f>'U10m drift-fixed nets'!D31:N31</xm:f>
              <xm:sqref>C31</xm:sqref>
            </x14:sparkline>
            <x14:sparkline>
              <xm:f>'U10m drift-fixed nets'!D32:N32</xm:f>
              <xm:sqref>C32</xm:sqref>
            </x14:sparkline>
            <x14:sparkline>
              <xm:f>'U10m drift-fixed nets'!D33:N33</xm:f>
              <xm:sqref>C33</xm:sqref>
            </x14:sparkline>
            <x14:sparkline>
              <xm:f>'U10m drift-fixed nets'!D34:N34</xm:f>
              <xm:sqref>C34</xm:sqref>
            </x14:sparkline>
            <x14:sparkline>
              <xm:f>'U10m drift-fixed nets'!D35:N35</xm:f>
              <xm:sqref>C35</xm:sqref>
            </x14:sparkline>
            <x14:sparkline>
              <xm:f>'U10m drift-fixed nets'!D36:N36</xm:f>
              <xm:sqref>C36</xm:sqref>
            </x14:sparkline>
            <x14:sparkline>
              <xm:f>'U10m drift-fixed nets'!D37:N37</xm:f>
              <xm:sqref>C37</xm:sqref>
            </x14:sparkline>
            <x14:sparkline>
              <xm:f>'U10m drift-fixed nets'!D38:N38</xm:f>
              <xm:sqref>C38</xm:sqref>
            </x14:sparkline>
            <x14:sparkline>
              <xm:f>'U10m drift-fixed nets'!D39:N39</xm:f>
              <xm:sqref>C39</xm:sqref>
            </x14:sparkline>
            <x14:sparkline>
              <xm:f>'U10m drift-fixed nets'!D40:N40</xm:f>
              <xm:sqref>C40</xm:sqref>
            </x14:sparkline>
            <x14:sparkline>
              <xm:f>'U10m drift-fixed nets'!D41:N41</xm:f>
              <xm:sqref>C41</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ACEDE-0E84-427A-A9C4-1915AFAF0385}">
  <sheetPr codeName="Feuil35">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483</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1086</v>
      </c>
      <c r="E3" s="28">
        <v>1079</v>
      </c>
      <c r="F3" s="28">
        <v>1001</v>
      </c>
      <c r="G3" s="28">
        <v>1042</v>
      </c>
      <c r="H3" s="28">
        <v>1011</v>
      </c>
      <c r="I3" s="28">
        <v>1087</v>
      </c>
      <c r="J3" s="28">
        <v>1176</v>
      </c>
      <c r="K3" s="28">
        <v>1201</v>
      </c>
      <c r="L3" s="28">
        <v>1221</v>
      </c>
      <c r="M3" s="28">
        <v>1087</v>
      </c>
      <c r="N3" s="28">
        <v>1139</v>
      </c>
      <c r="O3" s="29">
        <f t="shared" ref="O3:O41" si="0">IF(N3=0,"",IFERROR(IF(AND(N3&gt;0,D3&lt;0),"na",IF(AND(N3&lt;0,D3&lt;0),-1,1)*(N3-D3)/D3),""))</f>
        <v>4.8802946593001842E-2</v>
      </c>
      <c r="P3" s="29">
        <f t="shared" ref="P3:P41" si="1">IF(N3=0,"",IFERROR(IF(AND(N3&gt;0,J3&lt;0),"na",IF(AND(N3&lt;0,J3&lt;0),-1,1)*(N3-J3)/J3),""))</f>
        <v>-3.1462585034013606E-2</v>
      </c>
    </row>
    <row r="4" spans="1:17" ht="18" customHeight="1" x14ac:dyDescent="0.2">
      <c r="A4" s="193"/>
      <c r="B4" s="30" t="s">
        <v>55</v>
      </c>
      <c r="C4" s="31"/>
      <c r="D4" s="31">
        <v>81613</v>
      </c>
      <c r="E4" s="31">
        <v>81949</v>
      </c>
      <c r="F4" s="31">
        <v>79574</v>
      </c>
      <c r="G4" s="31">
        <v>81486</v>
      </c>
      <c r="H4" s="31">
        <v>79609</v>
      </c>
      <c r="I4" s="31">
        <v>84721</v>
      </c>
      <c r="J4" s="31">
        <v>90410</v>
      </c>
      <c r="K4" s="31">
        <v>93171</v>
      </c>
      <c r="L4" s="31">
        <v>95141</v>
      </c>
      <c r="M4" s="31">
        <v>89449</v>
      </c>
      <c r="N4" s="31">
        <v>90237.390625</v>
      </c>
      <c r="O4" s="29">
        <f t="shared" si="0"/>
        <v>0.10567422622621396</v>
      </c>
      <c r="P4" s="29">
        <f t="shared" si="1"/>
        <v>-1.9091845481694503E-3</v>
      </c>
    </row>
    <row r="5" spans="1:17" ht="18" customHeight="1" x14ac:dyDescent="0.2">
      <c r="A5" s="193"/>
      <c r="B5" s="30" t="s">
        <v>56</v>
      </c>
      <c r="C5" s="31"/>
      <c r="D5" s="31">
        <v>4736.60986328125</v>
      </c>
      <c r="E5" s="31">
        <v>4729.68017578125</v>
      </c>
      <c r="F5" s="31">
        <v>4653.35986328125</v>
      </c>
      <c r="G5" s="31">
        <v>4687.240234375</v>
      </c>
      <c r="H5" s="31">
        <v>4585.5400390625</v>
      </c>
      <c r="I5" s="31">
        <v>4884.75</v>
      </c>
      <c r="J5" s="31">
        <v>5169.27001953125</v>
      </c>
      <c r="K5" s="31">
        <v>5351.009765625</v>
      </c>
      <c r="L5" s="31">
        <v>5543.56005859375</v>
      </c>
      <c r="M5" s="31">
        <v>5158.31005859375</v>
      </c>
      <c r="N5" s="31">
        <v>5084.93994140625</v>
      </c>
      <c r="O5" s="29">
        <f t="shared" si="0"/>
        <v>7.3539955406776325E-2</v>
      </c>
      <c r="P5" s="29">
        <f t="shared" si="1"/>
        <v>-1.6313730527980248E-2</v>
      </c>
      <c r="Q5" s="32"/>
    </row>
    <row r="6" spans="1:17" ht="18" customHeight="1" x14ac:dyDescent="0.2">
      <c r="A6" s="193"/>
      <c r="B6" s="30" t="s">
        <v>57</v>
      </c>
      <c r="C6" s="31"/>
      <c r="D6" s="31">
        <v>63598.34765625</v>
      </c>
      <c r="E6" s="31">
        <v>63786.16796875</v>
      </c>
      <c r="F6" s="31">
        <v>61858.66796875</v>
      </c>
      <c r="G6" s="31">
        <v>63153.390625</v>
      </c>
      <c r="H6" s="31">
        <v>61891.3203125</v>
      </c>
      <c r="I6" s="31">
        <v>65893.4921875</v>
      </c>
      <c r="J6" s="31">
        <v>70777.40625</v>
      </c>
      <c r="K6" s="31">
        <v>72774.1328125</v>
      </c>
      <c r="L6" s="31">
        <v>73025.0703125</v>
      </c>
      <c r="M6" s="31">
        <v>66461.6875</v>
      </c>
      <c r="N6" s="31">
        <v>65421.171875</v>
      </c>
      <c r="O6" s="29">
        <f t="shared" si="0"/>
        <v>2.8661502789386787E-2</v>
      </c>
      <c r="P6" s="29">
        <f t="shared" si="1"/>
        <v>-7.5677178054260788E-2</v>
      </c>
    </row>
    <row r="7" spans="1:17" ht="18" customHeight="1" x14ac:dyDescent="0.2">
      <c r="A7" s="193"/>
      <c r="B7" s="30" t="s">
        <v>58</v>
      </c>
      <c r="C7" s="31"/>
      <c r="D7" s="31">
        <v>21931.76171875</v>
      </c>
      <c r="E7" s="31">
        <v>25606.71875</v>
      </c>
      <c r="F7" s="31">
        <v>26620.455078125</v>
      </c>
      <c r="G7" s="31">
        <v>26474.5546875</v>
      </c>
      <c r="H7" s="31">
        <v>24564.638671875</v>
      </c>
      <c r="I7" s="31">
        <v>27451.046875</v>
      </c>
      <c r="J7" s="31">
        <v>27438.73828125</v>
      </c>
      <c r="K7" s="31">
        <v>23294.025390625</v>
      </c>
      <c r="L7" s="31">
        <v>25540.634765625</v>
      </c>
      <c r="M7" s="31">
        <v>21315.19921875</v>
      </c>
      <c r="N7" s="31">
        <v>20177.37890625</v>
      </c>
      <c r="O7" s="29">
        <f t="shared" si="0"/>
        <v>-7.9992790136878753E-2</v>
      </c>
      <c r="P7" s="29">
        <f t="shared" si="1"/>
        <v>-0.26463896774590329</v>
      </c>
    </row>
    <row r="8" spans="1:17" ht="18" customHeight="1" x14ac:dyDescent="0.2">
      <c r="A8" s="193"/>
      <c r="B8" s="30" t="s">
        <v>59</v>
      </c>
      <c r="C8" s="33"/>
      <c r="D8" s="33">
        <f ca="1">63.2006*OFFSET(D$112,MATCH($N$1,$C$112:$C$113,0)-1,0)</f>
        <v>63.200600000000001</v>
      </c>
      <c r="E8" s="33">
        <f ca="1">63.568444*OFFSET(E$112,MATCH($N$1,$C$112:$C$113,0)-1,0)</f>
        <v>63.568444</v>
      </c>
      <c r="F8" s="33">
        <f ca="1">60.872736*OFFSET(F$112,MATCH($N$1,$C$112:$C$113,0)-1,0)</f>
        <v>60.872736000000003</v>
      </c>
      <c r="G8" s="33">
        <f ca="1">64.66584*OFFSET(G$112,MATCH($N$1,$C$112:$C$113,0)-1,0)</f>
        <v>64.665840000000003</v>
      </c>
      <c r="H8" s="33">
        <f ca="1">60.114036*OFFSET(H$112,MATCH($N$1,$C$112:$C$113,0)-1,0)</f>
        <v>60.114035999999999</v>
      </c>
      <c r="I8" s="33">
        <f ca="1">74.95872*OFFSET(I$112,MATCH($N$1,$C$112:$C$113,0)-1,0)</f>
        <v>74.95872</v>
      </c>
      <c r="J8" s="33">
        <f ca="1">81.284448*OFFSET(J$112,MATCH($N$1,$C$112:$C$113,0)-1,0)</f>
        <v>81.284447999999998</v>
      </c>
      <c r="K8" s="33">
        <f ca="1">87.05904*OFFSET(K$112,MATCH($N$1,$C$112:$C$113,0)-1,0)</f>
        <v>87.059039999999996</v>
      </c>
      <c r="L8" s="33">
        <f ca="1">92.598816*OFFSET(L$112,MATCH($N$1,$C$112:$C$113,0)-1,0)</f>
        <v>92.598815999999999</v>
      </c>
      <c r="M8" s="33">
        <f ca="1">65.060776*OFFSET(M$112,MATCH($N$1,$C$112:$C$113,0)-1,0)</f>
        <v>65.060776000000004</v>
      </c>
      <c r="N8" s="33">
        <v>76.23348</v>
      </c>
      <c r="O8" s="29">
        <f t="shared" ca="1" si="0"/>
        <v>0.2062144979636269</v>
      </c>
      <c r="P8" s="29">
        <f t="shared" ca="1" si="1"/>
        <v>-6.213941441787238E-2</v>
      </c>
    </row>
    <row r="9" spans="1:17" ht="18" customHeight="1" x14ac:dyDescent="0.2">
      <c r="A9" s="193"/>
      <c r="B9" s="30" t="s">
        <v>60</v>
      </c>
      <c r="C9" s="31"/>
      <c r="D9" s="31">
        <v>119164</v>
      </c>
      <c r="E9" s="31">
        <v>118076</v>
      </c>
      <c r="F9" s="31">
        <v>111625</v>
      </c>
      <c r="G9" s="31">
        <v>131284</v>
      </c>
      <c r="H9" s="31">
        <v>137167</v>
      </c>
      <c r="I9" s="31">
        <v>135747</v>
      </c>
      <c r="J9" s="31">
        <v>102125</v>
      </c>
      <c r="K9" s="31">
        <v>101086</v>
      </c>
      <c r="L9" s="31">
        <v>104788</v>
      </c>
      <c r="M9" s="31">
        <v>83182</v>
      </c>
      <c r="N9" s="31">
        <v>87920</v>
      </c>
      <c r="O9" s="29">
        <f t="shared" si="0"/>
        <v>-0.26219327984961899</v>
      </c>
      <c r="P9" s="29">
        <f t="shared" si="1"/>
        <v>-0.13909424724602204</v>
      </c>
    </row>
    <row r="10" spans="1:17" ht="18" customHeight="1" x14ac:dyDescent="0.2">
      <c r="A10" s="193"/>
      <c r="B10" s="30" t="s">
        <v>61</v>
      </c>
      <c r="C10" s="31"/>
      <c r="D10" s="31">
        <v>923.79742431640625</v>
      </c>
      <c r="E10" s="31">
        <v>956.2073974609375</v>
      </c>
      <c r="F10" s="31">
        <v>901.08721923828125</v>
      </c>
      <c r="G10" s="31">
        <v>995.1094970703125</v>
      </c>
      <c r="H10" s="31">
        <v>1074.7811279296875</v>
      </c>
      <c r="I10" s="31">
        <v>1129.326904296875</v>
      </c>
      <c r="J10" s="31">
        <v>719.4649658203125</v>
      </c>
      <c r="K10" s="31">
        <v>870.17401123046875</v>
      </c>
      <c r="L10" s="31">
        <v>669.18109130859375</v>
      </c>
      <c r="M10" s="31">
        <v>627.3968505859375</v>
      </c>
      <c r="N10" s="31">
        <v>646.32904052734375</v>
      </c>
      <c r="O10" s="34">
        <f t="shared" si="0"/>
        <v>-0.30035630808819824</v>
      </c>
      <c r="P10" s="34">
        <f t="shared" si="1"/>
        <v>-0.10165321282820401</v>
      </c>
    </row>
    <row r="11" spans="1:17" ht="18" customHeight="1" x14ac:dyDescent="0.2">
      <c r="A11" s="194" t="s">
        <v>27</v>
      </c>
      <c r="B11" s="35" t="s">
        <v>62</v>
      </c>
      <c r="C11" s="36"/>
      <c r="D11" s="36">
        <v>7.9255709648132324</v>
      </c>
      <c r="E11" s="36">
        <v>7.965458869934082</v>
      </c>
      <c r="F11" s="36">
        <v>8.0795803070068359</v>
      </c>
      <c r="G11" s="36">
        <v>7.9956908226013184</v>
      </c>
      <c r="H11" s="36">
        <v>8.0191001892089844</v>
      </c>
      <c r="I11" s="36">
        <v>7.9733853340148926</v>
      </c>
      <c r="J11" s="36">
        <v>7.9334521293640137</v>
      </c>
      <c r="K11" s="36">
        <v>7.9382100105285645</v>
      </c>
      <c r="L11" s="36">
        <v>7.9901719093322754</v>
      </c>
      <c r="M11" s="36">
        <v>8.1038732528686523</v>
      </c>
      <c r="N11" s="36">
        <v>7.9957771301269531</v>
      </c>
      <c r="O11" s="29">
        <f t="shared" si="0"/>
        <v>8.8581839245918757E-3</v>
      </c>
      <c r="P11" s="29">
        <f t="shared" si="1"/>
        <v>7.8559748955005972E-3</v>
      </c>
    </row>
    <row r="12" spans="1:17" ht="18" customHeight="1" x14ac:dyDescent="0.2">
      <c r="A12" s="195"/>
      <c r="B12" s="37" t="s">
        <v>55</v>
      </c>
      <c r="C12" s="31"/>
      <c r="D12" s="31">
        <v>75.150093078613281</v>
      </c>
      <c r="E12" s="31">
        <v>75.949028015136719</v>
      </c>
      <c r="F12" s="31">
        <v>79.4945068359375</v>
      </c>
      <c r="G12" s="31">
        <v>78.2015380859375</v>
      </c>
      <c r="H12" s="31">
        <v>78.742828369140625</v>
      </c>
      <c r="I12" s="31">
        <v>77.940200805664063</v>
      </c>
      <c r="J12" s="31">
        <v>76.879249572753906</v>
      </c>
      <c r="K12" s="31">
        <v>77.577850341796875</v>
      </c>
      <c r="L12" s="31">
        <v>77.920555114746094</v>
      </c>
      <c r="M12" s="31">
        <v>82.289787292480469</v>
      </c>
      <c r="N12" s="31">
        <v>79.364456176757813</v>
      </c>
      <c r="O12" s="29">
        <f t="shared" si="0"/>
        <v>5.6079279818535353E-2</v>
      </c>
      <c r="P12" s="29">
        <f t="shared" si="1"/>
        <v>3.2326103829253119E-2</v>
      </c>
    </row>
    <row r="13" spans="1:17" ht="18" customHeight="1" x14ac:dyDescent="0.2">
      <c r="A13" s="195"/>
      <c r="B13" s="37" t="s">
        <v>56</v>
      </c>
      <c r="C13" s="31"/>
      <c r="D13" s="31">
        <v>4.3615193367004395</v>
      </c>
      <c r="E13" s="31">
        <v>4.3833918571472168</v>
      </c>
      <c r="F13" s="31">
        <v>4.6487112045288086</v>
      </c>
      <c r="G13" s="31">
        <v>4.4983110427856445</v>
      </c>
      <c r="H13" s="31">
        <v>4.5401387214660645</v>
      </c>
      <c r="I13" s="31">
        <v>4.4979281425476074</v>
      </c>
      <c r="J13" s="31">
        <v>4.4031262397766113</v>
      </c>
      <c r="K13" s="31">
        <v>4.4628939628601074</v>
      </c>
      <c r="L13" s="31">
        <v>4.5513629913330078</v>
      </c>
      <c r="M13" s="31">
        <v>4.7542028427124023</v>
      </c>
      <c r="N13" s="31">
        <v>4.4761795997619629</v>
      </c>
      <c r="O13" s="29">
        <f t="shared" si="0"/>
        <v>2.6289064477303406E-2</v>
      </c>
      <c r="P13" s="29">
        <f t="shared" si="1"/>
        <v>1.6591248128524669E-2</v>
      </c>
    </row>
    <row r="14" spans="1:17" ht="18" customHeight="1" x14ac:dyDescent="0.2">
      <c r="A14" s="195"/>
      <c r="B14" s="37" t="s">
        <v>57</v>
      </c>
      <c r="C14" s="31"/>
      <c r="D14" s="31">
        <v>58.562015533447266</v>
      </c>
      <c r="E14" s="31">
        <v>59.116001129150391</v>
      </c>
      <c r="F14" s="31">
        <v>61.796871185302734</v>
      </c>
      <c r="G14" s="31">
        <v>60.607860565185547</v>
      </c>
      <c r="H14" s="31">
        <v>61.217922210693359</v>
      </c>
      <c r="I14" s="31">
        <v>60.619590759277344</v>
      </c>
      <c r="J14" s="31">
        <v>60.184871673583984</v>
      </c>
      <c r="K14" s="31">
        <v>60.594615936279297</v>
      </c>
      <c r="L14" s="31">
        <v>60.803558349609375</v>
      </c>
      <c r="M14" s="31">
        <v>63.782814025878906</v>
      </c>
      <c r="N14" s="31">
        <v>61.486064910888672</v>
      </c>
      <c r="O14" s="29">
        <f t="shared" si="0"/>
        <v>4.9930818651064988E-2</v>
      </c>
      <c r="P14" s="29">
        <f t="shared" si="1"/>
        <v>2.1619938717519941E-2</v>
      </c>
    </row>
    <row r="15" spans="1:17" ht="18" customHeight="1" x14ac:dyDescent="0.2">
      <c r="A15" s="195"/>
      <c r="B15" s="37" t="s">
        <v>58</v>
      </c>
      <c r="C15" s="33"/>
      <c r="D15" s="33">
        <v>20.194992065429688</v>
      </c>
      <c r="E15" s="33">
        <v>23.731899261474609</v>
      </c>
      <c r="F15" s="33">
        <v>26.593862533569336</v>
      </c>
      <c r="G15" s="33">
        <v>25.407442092895508</v>
      </c>
      <c r="H15" s="33">
        <v>24.297369003295898</v>
      </c>
      <c r="I15" s="33">
        <v>25.25395393371582</v>
      </c>
      <c r="J15" s="33">
        <v>23.332260131835938</v>
      </c>
      <c r="K15" s="33">
        <v>19.395524978637695</v>
      </c>
      <c r="L15" s="33">
        <v>20.917800903320313</v>
      </c>
      <c r="M15" s="33">
        <v>19.609199523925781</v>
      </c>
      <c r="N15" s="33">
        <v>17.714994430541992</v>
      </c>
      <c r="O15" s="29">
        <f t="shared" si="0"/>
        <v>-0.12280260506430303</v>
      </c>
      <c r="P15" s="29">
        <f t="shared" si="1"/>
        <v>-0.24075103181407662</v>
      </c>
    </row>
    <row r="16" spans="1:17" ht="18" customHeight="1" x14ac:dyDescent="0.2">
      <c r="A16" s="195"/>
      <c r="B16" s="37" t="s">
        <v>63</v>
      </c>
      <c r="C16" s="33"/>
      <c r="D16" s="33">
        <f ca="1">58.19576171875*OFFSET(D$112,MATCH($N$1,$C$112:$C$113,0)-1,0)</f>
        <v>58.195761718749999</v>
      </c>
      <c r="E16" s="33">
        <f ca="1">58.91421875*OFFSET(E$112,MATCH($N$1,$C$112:$C$113,0)-1,0)</f>
        <v>58.914218750000003</v>
      </c>
      <c r="F16" s="33">
        <f ca="1">60.81192578125*OFFSET(F$112,MATCH($N$1,$C$112:$C$113,0)-1,0)</f>
        <v>60.811925781249997</v>
      </c>
      <c r="G16" s="33">
        <f ca="1">62.05934765625*OFFSET(G$112,MATCH($N$1,$C$112:$C$113,0)-1,0)</f>
        <v>62.059347656249997</v>
      </c>
      <c r="H16" s="33">
        <f ca="1">59.4599765625*OFFSET(H$112,MATCH($N$1,$C$112:$C$113,0)-1,0)</f>
        <v>59.459976562500003</v>
      </c>
      <c r="I16" s="33">
        <f ca="1">68.959265625*OFFSET(I$112,MATCH($N$1,$C$112:$C$113,0)-1,0)</f>
        <v>68.959265625</v>
      </c>
      <c r="J16" s="33">
        <f ca="1">69.1194296875*OFFSET(J$112,MATCH($N$1,$C$112:$C$113,0)-1,0)</f>
        <v>69.119429687500002</v>
      </c>
      <c r="K16" s="33">
        <f ca="1">72.4887890625*OFFSET(K$112,MATCH($N$1,$C$112:$C$113,0)-1,0)</f>
        <v>72.488789062500004</v>
      </c>
      <c r="L16" s="33">
        <f ca="1">75.8385078125*OFFSET(L$112,MATCH($N$1,$C$112:$C$113,0)-1,0)</f>
        <v>75.838507812499998</v>
      </c>
      <c r="M16" s="33">
        <f ca="1">59.85351953125*OFFSET(M$112,MATCH($N$1,$C$112:$C$113,0)-1,0)</f>
        <v>59.853519531250001</v>
      </c>
      <c r="N16" s="33">
        <v>66.930187500000002</v>
      </c>
      <c r="O16" s="29">
        <f t="shared" ca="1" si="0"/>
        <v>0.15008697409034638</v>
      </c>
      <c r="P16" s="29">
        <f t="shared" ca="1" si="1"/>
        <v>-3.1673325393422859E-2</v>
      </c>
    </row>
    <row r="17" spans="1:16" ht="18" customHeight="1" x14ac:dyDescent="0.2">
      <c r="A17" s="195"/>
      <c r="B17" s="37" t="s">
        <v>60</v>
      </c>
      <c r="C17" s="31"/>
      <c r="D17" s="31">
        <v>109.72743988037109</v>
      </c>
      <c r="E17" s="31">
        <v>109.43095397949219</v>
      </c>
      <c r="F17" s="31">
        <v>111.51348876953125</v>
      </c>
      <c r="G17" s="31">
        <v>125.99232482910156</v>
      </c>
      <c r="H17" s="31">
        <v>135.67457580566406</v>
      </c>
      <c r="I17" s="31">
        <v>124.88224792480469</v>
      </c>
      <c r="J17" s="31">
        <v>86.840988159179688</v>
      </c>
      <c r="K17" s="31">
        <v>84.168190002441406</v>
      </c>
      <c r="L17" s="31">
        <v>85.821456909179688</v>
      </c>
      <c r="M17" s="31">
        <v>76.524375915527344</v>
      </c>
      <c r="N17" s="31">
        <v>77.190521240234375</v>
      </c>
      <c r="O17" s="29">
        <f t="shared" si="0"/>
        <v>-0.29652490457819547</v>
      </c>
      <c r="P17" s="29">
        <f t="shared" si="1"/>
        <v>-0.11112801827238526</v>
      </c>
    </row>
    <row r="18" spans="1:16" ht="18" customHeight="1" x14ac:dyDescent="0.2">
      <c r="A18" s="195"/>
      <c r="B18" s="37" t="s">
        <v>64</v>
      </c>
      <c r="C18" s="31"/>
      <c r="D18" s="31">
        <v>20.960405349731445</v>
      </c>
      <c r="E18" s="31">
        <v>21.402223587036133</v>
      </c>
      <c r="F18" s="31">
        <v>21.667333602905273</v>
      </c>
      <c r="G18" s="31">
        <v>22.253358840942383</v>
      </c>
      <c r="H18" s="31">
        <v>22.522254943847656</v>
      </c>
      <c r="I18" s="31">
        <v>22.954002380371094</v>
      </c>
      <c r="J18" s="31">
        <v>23.200679779052734</v>
      </c>
      <c r="K18" s="31">
        <v>23.394670486450195</v>
      </c>
      <c r="L18" s="31">
        <v>24.3255615234375</v>
      </c>
      <c r="M18" s="31">
        <v>24.691938400268555</v>
      </c>
      <c r="N18" s="31">
        <v>25.60902214050293</v>
      </c>
      <c r="O18" s="29">
        <f t="shared" si="0"/>
        <v>0.22178086316594275</v>
      </c>
      <c r="P18" s="29">
        <f t="shared" si="1"/>
        <v>0.10380481884089544</v>
      </c>
    </row>
    <row r="19" spans="1:16" ht="18" customHeight="1" x14ac:dyDescent="0.2">
      <c r="A19" s="195"/>
      <c r="B19" s="37" t="s">
        <v>65</v>
      </c>
      <c r="C19" s="38"/>
      <c r="D19" s="38">
        <v>0.18404686450958252</v>
      </c>
      <c r="E19" s="38">
        <v>0.21686641871929169</v>
      </c>
      <c r="F19" s="38">
        <v>0.23848113417625427</v>
      </c>
      <c r="G19" s="38">
        <v>0.20165865123271942</v>
      </c>
      <c r="H19" s="38">
        <v>0.17908564209938049</v>
      </c>
      <c r="I19" s="38">
        <v>0.20222212374210358</v>
      </c>
      <c r="J19" s="38">
        <v>0.2686779797077179</v>
      </c>
      <c r="K19" s="38">
        <v>0.23043771088123322</v>
      </c>
      <c r="L19" s="38">
        <v>0.24373625218868256</v>
      </c>
      <c r="M19" s="38">
        <v>0.25624775886535645</v>
      </c>
      <c r="N19" s="38">
        <v>0.22949701547622681</v>
      </c>
      <c r="O19" s="29">
        <f t="shared" si="0"/>
        <v>0.24694879256841615</v>
      </c>
      <c r="P19" s="29">
        <f t="shared" si="1"/>
        <v>-0.14582871389056226</v>
      </c>
    </row>
    <row r="20" spans="1:16" ht="18" customHeight="1" x14ac:dyDescent="0.2">
      <c r="A20" s="196"/>
      <c r="B20" s="39" t="s">
        <v>28</v>
      </c>
      <c r="C20" s="40"/>
      <c r="D20" s="40">
        <f ca="1">2882*OFFSET(D$112,MATCH($N$1,$C$112:$C$113,0)-1,0)</f>
        <v>2882</v>
      </c>
      <c r="E20" s="40">
        <f ca="1">2482*OFFSET(E$112,MATCH($N$1,$C$112:$C$113,0)-1,0)</f>
        <v>2482</v>
      </c>
      <c r="F20" s="40">
        <f ca="1">2287*OFFSET(F$112,MATCH($N$1,$C$112:$C$113,0)-1,0)</f>
        <v>2287</v>
      </c>
      <c r="G20" s="40">
        <f ca="1">2443*OFFSET(G$112,MATCH($N$1,$C$112:$C$113,0)-1,0)</f>
        <v>2443</v>
      </c>
      <c r="H20" s="40">
        <f ca="1">2447*OFFSET(H$112,MATCH($N$1,$C$112:$C$113,0)-1,0)</f>
        <v>2447</v>
      </c>
      <c r="I20" s="40">
        <f ca="1">2731*OFFSET(I$112,MATCH($N$1,$C$112:$C$113,0)-1,0)</f>
        <v>2731</v>
      </c>
      <c r="J20" s="40">
        <f ca="1">2962*OFFSET(J$112,MATCH($N$1,$C$112:$C$113,0)-1,0)</f>
        <v>2962</v>
      </c>
      <c r="K20" s="40">
        <f ca="1">3737*OFFSET(K$112,MATCH($N$1,$C$112:$C$113,0)-1,0)</f>
        <v>3737</v>
      </c>
      <c r="L20" s="40">
        <f ca="1">3626*OFFSET(L$112,MATCH($N$1,$C$112:$C$113,0)-1,0)</f>
        <v>3626</v>
      </c>
      <c r="M20" s="40">
        <f ca="1">3052*OFFSET(M$112,MATCH($N$1,$C$112:$C$113,0)-1,0)</f>
        <v>3052</v>
      </c>
      <c r="N20" s="40">
        <v>3778</v>
      </c>
      <c r="O20" s="34">
        <f t="shared" ca="1" si="0"/>
        <v>0.31089521165857043</v>
      </c>
      <c r="P20" s="34">
        <f t="shared" ca="1" si="1"/>
        <v>0.27548953409858201</v>
      </c>
    </row>
    <row r="21" spans="1:16" ht="18" customHeight="1" x14ac:dyDescent="0.2">
      <c r="A21" s="197" t="s">
        <v>29</v>
      </c>
      <c r="B21" s="35" t="s">
        <v>66</v>
      </c>
      <c r="C21" s="41"/>
      <c r="D21" s="41">
        <v>2.3015224651299344</v>
      </c>
      <c r="E21" s="41">
        <v>2.6387625670278583</v>
      </c>
      <c r="F21" s="41">
        <v>2.7986422073965769</v>
      </c>
      <c r="G21" s="41">
        <v>2.4366922165614433</v>
      </c>
      <c r="H21" s="41">
        <v>2.1620165451187079</v>
      </c>
      <c r="I21" s="41">
        <v>2.4299966668068342</v>
      </c>
      <c r="J21" s="41">
        <v>3.1662273423551111</v>
      </c>
      <c r="K21" s="41">
        <v>2.6927146451191386</v>
      </c>
      <c r="L21" s="41">
        <v>2.8145445483102645</v>
      </c>
      <c r="M21" s="41">
        <v>2.8002414689489772</v>
      </c>
      <c r="N21" s="41">
        <v>2.6254758430958645</v>
      </c>
      <c r="O21" s="29">
        <f t="shared" si="0"/>
        <v>0.14075612246854213</v>
      </c>
      <c r="P21" s="29">
        <f t="shared" si="1"/>
        <v>-0.17078732535264618</v>
      </c>
    </row>
    <row r="22" spans="1:16" ht="18" customHeight="1" x14ac:dyDescent="0.2">
      <c r="A22" s="197"/>
      <c r="B22" s="37" t="s">
        <v>67</v>
      </c>
      <c r="C22" s="38"/>
      <c r="D22" s="38">
        <f ca="1">6.63228054445893*OFFSET(D$112,MATCH($N$1,$C$112:$C$113,0)-1,0)</f>
        <v>6.6322805444589301</v>
      </c>
      <c r="E22" s="38">
        <f ca="1">6.55070348101297*OFFSET(E$112,MATCH($N$1,$C$112:$C$113,0)-1,0)</f>
        <v>6.5507034810129703</v>
      </c>
      <c r="F22" s="38">
        <f ca="1">6.39962780847058*OFFSET(F$112,MATCH($N$1,$C$112:$C$113,0)-1,0)</f>
        <v>6.39962780847058</v>
      </c>
      <c r="G22" s="38">
        <f ca="1">5.95178093276652*OFFSET(G$112,MATCH($N$1,$C$112:$C$113,0)-1,0)</f>
        <v>5.9517809327665203</v>
      </c>
      <c r="H22" s="38">
        <f ca="1">5.29083840653931*OFFSET(H$112,MATCH($N$1,$C$112:$C$113,0)-1,0)</f>
        <v>5.2908384065393097</v>
      </c>
      <c r="I22" s="38">
        <f ca="1">6.63542770585632*OFFSET(I$112,MATCH($N$1,$C$112:$C$113,0)-1,0)</f>
        <v>6.63542770585632</v>
      </c>
      <c r="J22" s="38">
        <f ca="1">9.37962404533391*OFFSET(J$112,MATCH($N$1,$C$112:$C$113,0)-1,0)</f>
        <v>9.3796240453339106</v>
      </c>
      <c r="K22" s="38">
        <f ca="1">10.0637453294268*OFFSET(K$112,MATCH($N$1,$C$112:$C$113,0)-1,0)</f>
        <v>10.0637453294268</v>
      </c>
      <c r="L22" s="38">
        <f ca="1">10.2042685893323*OFFSET(L$112,MATCH($N$1,$C$112:$C$113,0)-1,0)</f>
        <v>10.204268589332299</v>
      </c>
      <c r="M22" s="38">
        <f ca="1">8.54722841946989*OFFSET(M$112,MATCH($N$1,$C$112:$C$113,0)-1,0)</f>
        <v>8.5472284194698904</v>
      </c>
      <c r="N22" s="38">
        <v>9.9194832459086744</v>
      </c>
      <c r="O22" s="29">
        <f t="shared" ca="1" si="0"/>
        <v>0.49563685966150856</v>
      </c>
      <c r="P22" s="29">
        <f t="shared" ca="1" si="1"/>
        <v>5.7556592669972526E-2</v>
      </c>
    </row>
    <row r="23" spans="1:16" ht="18" customHeight="1" x14ac:dyDescent="0.2">
      <c r="A23" s="197"/>
      <c r="B23" s="37" t="s">
        <v>11</v>
      </c>
      <c r="C23" s="38"/>
      <c r="D23" s="38">
        <f ca="1">5.22727444221139*OFFSET(D$112,MATCH($N$1,$C$112:$C$113,0)-1,0)</f>
        <v>5.2272744422113897</v>
      </c>
      <c r="E23" s="38">
        <f ca="1">5.57894870001*OFFSET(E$112,MATCH($N$1,$C$112:$C$113,0)-1,0)</f>
        <v>5.5789487000099998</v>
      </c>
      <c r="F23" s="38">
        <f ca="1">5.24631318063231*OFFSET(F$112,MATCH($N$1,$C$112:$C$113,0)-1,0)</f>
        <v>5.2463131806323098</v>
      </c>
      <c r="G23" s="38">
        <f ca="1">4.97441677507453*OFFSET(G$112,MATCH($N$1,$C$112:$C$113,0)-1,0)</f>
        <v>4.9744167750745296</v>
      </c>
      <c r="H23" s="38">
        <f ca="1">4.34860317714385*OFFSET(H$112,MATCH($N$1,$C$112:$C$113,0)-1,0)</f>
        <v>4.3486031771438496</v>
      </c>
      <c r="I23" s="38">
        <f ca="1">4.81120521405261*OFFSET(I$112,MATCH($N$1,$C$112:$C$113,0)-1,0)</f>
        <v>4.8112052140526096</v>
      </c>
      <c r="J23" s="38">
        <f ca="1">7.01750422709467*OFFSET(J$112,MATCH($N$1,$C$112:$C$113,0)-1,0)</f>
        <v>7.0175042270946699</v>
      </c>
      <c r="K23" s="38">
        <f ca="1">7.36508807918616*OFFSET(K$112,MATCH($N$1,$C$112:$C$113,0)-1,0)</f>
        <v>7.3650880791861599</v>
      </c>
      <c r="L23" s="38">
        <f ca="1">7.80664035488774*OFFSET(L$112,MATCH($N$1,$C$112:$C$113,0)-1,0)</f>
        <v>7.8066403548877403</v>
      </c>
      <c r="M23" s="38">
        <f ca="1">7.00090897097736*OFFSET(M$112,MATCH($N$1,$C$112:$C$113,0)-1,0)</f>
        <v>7.0009089709773598</v>
      </c>
      <c r="N23" s="38">
        <v>7.7283468290665489</v>
      </c>
      <c r="O23" s="29">
        <f t="shared" ca="1" si="0"/>
        <v>0.47846586486036585</v>
      </c>
      <c r="P23" s="29">
        <f t="shared" ca="1" si="1"/>
        <v>0.10129564286221689</v>
      </c>
    </row>
    <row r="24" spans="1:16" ht="18" customHeight="1" x14ac:dyDescent="0.2">
      <c r="A24" s="197"/>
      <c r="B24" s="37" t="s">
        <v>12</v>
      </c>
      <c r="C24" s="38"/>
      <c r="D24" s="38">
        <f ca="1">1.7070837711823*OFFSET(D$112,MATCH($N$1,$C$112:$C$113,0)-1,0)</f>
        <v>1.7070837711822999</v>
      </c>
      <c r="E24" s="38">
        <f ca="1">1.28289488900329*OFFSET(E$112,MATCH($N$1,$C$112:$C$113,0)-1,0)</f>
        <v>1.2828948890032901</v>
      </c>
      <c r="F24" s="38">
        <f ca="1">1.48050906872574*OFFSET(F$112,MATCH($N$1,$C$112:$C$113,0)-1,0)</f>
        <v>1.4805090687257401</v>
      </c>
      <c r="G24" s="38">
        <f ca="1">1.22063561191203*OFFSET(G$112,MATCH($N$1,$C$112:$C$113,0)-1,0)</f>
        <v>1.2206356119120301</v>
      </c>
      <c r="H24" s="38">
        <f ca="1">1.07274299142449*OFFSET(H$112,MATCH($N$1,$C$112:$C$113,0)-1,0)</f>
        <v>1.0727429914244899</v>
      </c>
      <c r="I24" s="38">
        <f ca="1">2.17215319286488*OFFSET(I$112,MATCH($N$1,$C$112:$C$113,0)-1,0)</f>
        <v>2.1721531928648798</v>
      </c>
      <c r="J24" s="38">
        <f ca="1">2.57645922727159*OFFSET(J$112,MATCH($N$1,$C$112:$C$113,0)-1,0)</f>
        <v>2.5764592272715898</v>
      </c>
      <c r="K24" s="38">
        <f ca="1">3.05802279050594*OFFSET(K$112,MATCH($N$1,$C$112:$C$113,0)-1,0)</f>
        <v>3.0580227905059401</v>
      </c>
      <c r="L24" s="38">
        <f ca="1">2.96742913798363*OFFSET(L$112,MATCH($N$1,$C$112:$C$113,0)-1,0)</f>
        <v>2.9674291379836299</v>
      </c>
      <c r="M24" s="38">
        <f ca="1">2.8352341583428*OFFSET(M$112,MATCH($N$1,$C$112:$C$113,0)-1,0)</f>
        <v>2.8352341583428</v>
      </c>
      <c r="N24" s="38">
        <v>2.9672201129422628</v>
      </c>
      <c r="O24" s="29">
        <f t="shared" ca="1" si="0"/>
        <v>0.73818072846373084</v>
      </c>
      <c r="P24" s="29">
        <f t="shared" ca="1" si="1"/>
        <v>0.15166585270766333</v>
      </c>
    </row>
    <row r="25" spans="1:16" ht="18" customHeight="1" x14ac:dyDescent="0.2">
      <c r="A25" s="197"/>
      <c r="B25" s="37" t="s">
        <v>68</v>
      </c>
      <c r="C25" s="33"/>
      <c r="D25" s="33">
        <f ca="1">68.42*OFFSET(D$112,MATCH($N$1,$C$112:$C$113,0)-1,0)</f>
        <v>68.42</v>
      </c>
      <c r="E25" s="33">
        <f ca="1">66.46*OFFSET(E$112,MATCH($N$1,$C$112:$C$113,0)-1,0)</f>
        <v>66.459999999999994</v>
      </c>
      <c r="F25" s="33">
        <f ca="1">67.54*OFFSET(F$112,MATCH($N$1,$C$112:$C$113,0)-1,0)</f>
        <v>67.540000000000006</v>
      </c>
      <c r="G25" s="33">
        <f ca="1">65.03*OFFSET(G$112,MATCH($N$1,$C$112:$C$113,0)-1,0)</f>
        <v>65.03</v>
      </c>
      <c r="H25" s="33">
        <f ca="1">55.97*OFFSET(H$112,MATCH($N$1,$C$112:$C$113,0)-1,0)</f>
        <v>55.97</v>
      </c>
      <c r="I25" s="33">
        <f ca="1">66.41*OFFSET(I$112,MATCH($N$1,$C$112:$C$113,0)-1,0)</f>
        <v>66.41</v>
      </c>
      <c r="J25" s="33">
        <f ca="1">112.95*OFFSET(J$112,MATCH($N$1,$C$112:$C$113,0)-1,0)</f>
        <v>112.95</v>
      </c>
      <c r="K25" s="33">
        <f ca="1">100.06*OFFSET(K$112,MATCH($N$1,$C$112:$C$113,0)-1,0)</f>
        <v>100.06</v>
      </c>
      <c r="L25" s="33">
        <f ca="1">138.31*OFFSET(L$112,MATCH($N$1,$C$112:$C$113,0)-1,0)</f>
        <v>138.31</v>
      </c>
      <c r="M25" s="33">
        <f ca="1">103.78*OFFSET(M$112,MATCH($N$1,$C$112:$C$113,0)-1,0)</f>
        <v>103.78</v>
      </c>
      <c r="N25" s="33">
        <v>117.9</v>
      </c>
      <c r="O25" s="29">
        <f t="shared" ca="1" si="0"/>
        <v>0.7231803566208711</v>
      </c>
      <c r="P25" s="29">
        <f t="shared" ca="1" si="1"/>
        <v>4.3824701195219147E-2</v>
      </c>
    </row>
    <row r="26" spans="1:16" ht="18" customHeight="1" x14ac:dyDescent="0.2">
      <c r="A26" s="198"/>
      <c r="B26" s="37" t="s">
        <v>69</v>
      </c>
      <c r="C26" s="33"/>
      <c r="D26" s="33">
        <f ca="1">17.63*OFFSET(D$112,MATCH($N$1,$C$112:$C$113,0)-1,0)</f>
        <v>17.63</v>
      </c>
      <c r="E26" s="33">
        <f ca="1">12.98*OFFSET(E$112,MATCH($N$1,$C$112:$C$113,0)-1,0)</f>
        <v>12.98</v>
      </c>
      <c r="F26" s="33">
        <f ca="1">15.66*OFFSET(F$112,MATCH($N$1,$C$112:$C$113,0)-1,0)</f>
        <v>15.66</v>
      </c>
      <c r="G26" s="33">
        <f ca="1">13.3*OFFSET(G$112,MATCH($N$1,$C$112:$C$113,0)-1,0)</f>
        <v>13.3</v>
      </c>
      <c r="H26" s="33">
        <f ca="1">11.38*OFFSET(H$112,MATCH($N$1,$C$112:$C$113,0)-1,0)</f>
        <v>11.38</v>
      </c>
      <c r="I26" s="33">
        <f ca="1">21.75*OFFSET(I$112,MATCH($N$1,$C$112:$C$113,0)-1,0)</f>
        <v>21.75</v>
      </c>
      <c r="J26" s="33">
        <f ca="1">31.06*OFFSET(J$112,MATCH($N$1,$C$112:$C$113,0)-1,0)</f>
        <v>31.06</v>
      </c>
      <c r="K26" s="33">
        <f ca="1">30.36*OFFSET(K$112,MATCH($N$1,$C$112:$C$113,0)-1,0)</f>
        <v>30.36</v>
      </c>
      <c r="L26" s="33">
        <f ca="1">40.32*OFFSET(L$112,MATCH($N$1,$C$112:$C$113,0)-1,0)</f>
        <v>40.32</v>
      </c>
      <c r="M26" s="33">
        <f ca="1">34.48*OFFSET(M$112,MATCH($N$1,$C$112:$C$113,0)-1,0)</f>
        <v>34.479999999999997</v>
      </c>
      <c r="N26" s="33">
        <v>35.25</v>
      </c>
      <c r="O26" s="34">
        <f t="shared" ca="1" si="0"/>
        <v>0.99943278502552479</v>
      </c>
      <c r="P26" s="34">
        <f t="shared" ca="1" si="1"/>
        <v>0.13490019317450103</v>
      </c>
    </row>
    <row r="27" spans="1:16" ht="18" customHeight="1" x14ac:dyDescent="0.2">
      <c r="A27" s="187" t="s">
        <v>30</v>
      </c>
      <c r="B27" s="35" t="s">
        <v>63</v>
      </c>
      <c r="C27" s="36"/>
      <c r="D27" s="36">
        <f ca="1">58.2*OFFSET(D$112,MATCH($N$1,$C$112:$C$113,0)-1,0)</f>
        <v>58.2</v>
      </c>
      <c r="E27" s="36">
        <f ca="1">58.9*OFFSET(E$112,MATCH($N$1,$C$112:$C$113,0)-1,0)</f>
        <v>58.9</v>
      </c>
      <c r="F27" s="36">
        <f ca="1">60.8*OFFSET(F$112,MATCH($N$1,$C$112:$C$113,0)-1,0)</f>
        <v>60.8</v>
      </c>
      <c r="G27" s="36">
        <f ca="1">62.1*OFFSET(G$112,MATCH($N$1,$C$112:$C$113,0)-1,0)</f>
        <v>62.1</v>
      </c>
      <c r="H27" s="36">
        <f ca="1">59.5*OFFSET(H$112,MATCH($N$1,$C$112:$C$113,0)-1,0)</f>
        <v>59.5</v>
      </c>
      <c r="I27" s="36">
        <f ca="1">69*OFFSET(I$112,MATCH($N$1,$C$112:$C$113,0)-1,0)</f>
        <v>69</v>
      </c>
      <c r="J27" s="36">
        <f ca="1">69.1*OFFSET(J$112,MATCH($N$1,$C$112:$C$113,0)-1,0)</f>
        <v>69.099999999999994</v>
      </c>
      <c r="K27" s="36">
        <f ca="1">72.5*OFFSET(K$112,MATCH($N$1,$C$112:$C$113,0)-1,0)</f>
        <v>72.5</v>
      </c>
      <c r="L27" s="36">
        <f ca="1">75.8*OFFSET(L$112,MATCH($N$1,$C$112:$C$113,0)-1,0)</f>
        <v>75.8</v>
      </c>
      <c r="M27" s="36">
        <f ca="1">59.9*OFFSET(M$112,MATCH($N$1,$C$112:$C$113,0)-1,0)</f>
        <v>59.9</v>
      </c>
      <c r="N27" s="36">
        <v>66.900000000000006</v>
      </c>
      <c r="O27" s="29">
        <f t="shared" ca="1" si="0"/>
        <v>0.14948453608247428</v>
      </c>
      <c r="P27" s="29">
        <f t="shared" ca="1" si="1"/>
        <v>-3.183791606367567E-2</v>
      </c>
    </row>
    <row r="28" spans="1:16" ht="18" customHeight="1" x14ac:dyDescent="0.2">
      <c r="A28" s="199"/>
      <c r="B28" s="37" t="s">
        <v>70</v>
      </c>
      <c r="C28" s="33"/>
      <c r="D28" s="33">
        <f ca="1">2.7*OFFSET(D$112,MATCH($N$1,$C$112:$C$113,0)-1,0)</f>
        <v>2.7</v>
      </c>
      <c r="E28" s="33">
        <f ca="1">2.8*OFFSET(E$112,MATCH($N$1,$C$112:$C$113,0)-1,0)</f>
        <v>2.8</v>
      </c>
      <c r="F28" s="33">
        <f ca="1">3.1*OFFSET(F$112,MATCH($N$1,$C$112:$C$113,0)-1,0)</f>
        <v>3.1</v>
      </c>
      <c r="G28" s="33">
        <f ca="1">2.5*OFFSET(G$112,MATCH($N$1,$C$112:$C$113,0)-1,0)</f>
        <v>2.5</v>
      </c>
      <c r="H28" s="33">
        <f ca="1">1.5*OFFSET(H$112,MATCH($N$1,$C$112:$C$113,0)-1,0)</f>
        <v>1.5</v>
      </c>
      <c r="I28" s="33">
        <f ca="1">3.6*OFFSET(I$112,MATCH($N$1,$C$112:$C$113,0)-1,0)</f>
        <v>3.6</v>
      </c>
      <c r="J28" s="33">
        <f ca="1">1.6*OFFSET(J$112,MATCH($N$1,$C$112:$C$113,0)-1,0)</f>
        <v>1.6</v>
      </c>
      <c r="K28" s="33">
        <f ca="1">2.6*OFFSET(K$112,MATCH($N$1,$C$112:$C$113,0)-1,0)</f>
        <v>2.6</v>
      </c>
      <c r="L28" s="33">
        <f ca="1">4.2*OFFSET(L$112,MATCH($N$1,$C$112:$C$113,0)-1,0)</f>
        <v>4.2</v>
      </c>
      <c r="M28" s="33">
        <f ca="1">9*OFFSET(M$112,MATCH($N$1,$C$112:$C$113,0)-1,0)</f>
        <v>9</v>
      </c>
      <c r="N28" s="33">
        <v>5.2</v>
      </c>
      <c r="O28" s="29">
        <f t="shared" ca="1" si="0"/>
        <v>0.92592592592592582</v>
      </c>
      <c r="P28" s="29">
        <f t="shared" ca="1" si="1"/>
        <v>2.25</v>
      </c>
    </row>
    <row r="29" spans="1:16" ht="18" customHeight="1" x14ac:dyDescent="0.2">
      <c r="A29" s="199"/>
      <c r="B29" s="42" t="s">
        <v>71</v>
      </c>
      <c r="C29" s="43"/>
      <c r="D29" s="43">
        <f ca="1">60.8*OFFSET(D$112,MATCH($N$1,$C$112:$C$113,0)-1,0)</f>
        <v>60.8</v>
      </c>
      <c r="E29" s="43">
        <f ca="1">61.7*OFFSET(E$112,MATCH($N$1,$C$112:$C$113,0)-1,0)</f>
        <v>61.7</v>
      </c>
      <c r="F29" s="43">
        <f ca="1">63.9*OFFSET(F$112,MATCH($N$1,$C$112:$C$113,0)-1,0)</f>
        <v>63.9</v>
      </c>
      <c r="G29" s="43">
        <f ca="1">64.6*OFFSET(G$112,MATCH($N$1,$C$112:$C$113,0)-1,0)</f>
        <v>64.599999999999994</v>
      </c>
      <c r="H29" s="43">
        <f ca="1">60.9*OFFSET(H$112,MATCH($N$1,$C$112:$C$113,0)-1,0)</f>
        <v>60.9</v>
      </c>
      <c r="I29" s="43">
        <f ca="1">72.6*OFFSET(I$112,MATCH($N$1,$C$112:$C$113,0)-1,0)</f>
        <v>72.599999999999994</v>
      </c>
      <c r="J29" s="43">
        <f ca="1">70.7*OFFSET(J$112,MATCH($N$1,$C$112:$C$113,0)-1,0)</f>
        <v>70.7</v>
      </c>
      <c r="K29" s="43">
        <f ca="1">75.1*OFFSET(K$112,MATCH($N$1,$C$112:$C$113,0)-1,0)</f>
        <v>75.099999999999994</v>
      </c>
      <c r="L29" s="43">
        <f ca="1">80.1*OFFSET(L$112,MATCH($N$1,$C$112:$C$113,0)-1,0)</f>
        <v>80.099999999999994</v>
      </c>
      <c r="M29" s="43">
        <f ca="1">68.9*OFFSET(M$112,MATCH($N$1,$C$112:$C$113,0)-1,0)</f>
        <v>68.900000000000006</v>
      </c>
      <c r="N29" s="43">
        <v>72.2</v>
      </c>
      <c r="O29" s="29">
        <f t="shared" ca="1" si="0"/>
        <v>0.18750000000000011</v>
      </c>
      <c r="P29" s="29">
        <f t="shared" ca="1" si="1"/>
        <v>2.1216407355021217E-2</v>
      </c>
    </row>
    <row r="30" spans="1:16" ht="18" customHeight="1" x14ac:dyDescent="0.2">
      <c r="A30" s="199"/>
      <c r="B30" s="37" t="s">
        <v>72</v>
      </c>
      <c r="C30" s="33"/>
      <c r="D30" s="33">
        <f ca="1">10*OFFSET(D$112,MATCH($N$1,$C$112:$C$113,0)-1,0)</f>
        <v>10</v>
      </c>
      <c r="E30" s="33">
        <f ca="1">10.2*OFFSET(E$112,MATCH($N$1,$C$112:$C$113,0)-1,0)</f>
        <v>10.199999999999999</v>
      </c>
      <c r="F30" s="33">
        <f ca="1">10.1*OFFSET(F$112,MATCH($N$1,$C$112:$C$113,0)-1,0)</f>
        <v>10.1</v>
      </c>
      <c r="G30" s="33">
        <f ca="1">10*OFFSET(G$112,MATCH($N$1,$C$112:$C$113,0)-1,0)</f>
        <v>10</v>
      </c>
      <c r="H30" s="33">
        <f ca="1">7.5*OFFSET(H$112,MATCH($N$1,$C$112:$C$113,0)-1,0)</f>
        <v>7.5</v>
      </c>
      <c r="I30" s="33">
        <f ca="1">6.6*OFFSET(I$112,MATCH($N$1,$C$112:$C$113,0)-1,0)</f>
        <v>6.6</v>
      </c>
      <c r="J30" s="33">
        <f ca="1">5.5*OFFSET(J$112,MATCH($N$1,$C$112:$C$113,0)-1,0)</f>
        <v>5.5</v>
      </c>
      <c r="K30" s="33">
        <f ca="1">6.5*OFFSET(K$112,MATCH($N$1,$C$112:$C$113,0)-1,0)</f>
        <v>6.5</v>
      </c>
      <c r="L30" s="33">
        <f ca="1">6.4*OFFSET(L$112,MATCH($N$1,$C$112:$C$113,0)-1,0)</f>
        <v>6.4</v>
      </c>
      <c r="M30" s="33">
        <f ca="1">4.1*OFFSET(M$112,MATCH($N$1,$C$112:$C$113,0)-1,0)</f>
        <v>4.0999999999999996</v>
      </c>
      <c r="N30" s="33">
        <v>5.2</v>
      </c>
      <c r="O30" s="29">
        <f t="shared" ca="1" si="0"/>
        <v>-0.48</v>
      </c>
      <c r="P30" s="29">
        <f t="shared" ca="1" si="1"/>
        <v>-5.4545454545454515E-2</v>
      </c>
    </row>
    <row r="31" spans="1:16" ht="18" customHeight="1" x14ac:dyDescent="0.2">
      <c r="A31" s="199"/>
      <c r="B31" s="37" t="s">
        <v>73</v>
      </c>
      <c r="C31" s="33"/>
      <c r="D31" s="33">
        <f ca="1">14.8*OFFSET(D$112,MATCH($N$1,$C$112:$C$113,0)-1,0)</f>
        <v>14.8</v>
      </c>
      <c r="E31" s="33">
        <f ca="1">16.5*OFFSET(E$112,MATCH($N$1,$C$112:$C$113,0)-1,0)</f>
        <v>16.5</v>
      </c>
      <c r="F31" s="33">
        <f ca="1">18.2*OFFSET(F$112,MATCH($N$1,$C$112:$C$113,0)-1,0)</f>
        <v>18.2</v>
      </c>
      <c r="G31" s="33">
        <f ca="1">18.8*OFFSET(G$112,MATCH($N$1,$C$112:$C$113,0)-1,0)</f>
        <v>18.8</v>
      </c>
      <c r="H31" s="33">
        <f ca="1">19.1*OFFSET(H$112,MATCH($N$1,$C$112:$C$113,0)-1,0)</f>
        <v>19.100000000000001</v>
      </c>
      <c r="I31" s="33">
        <f ca="1">20.1*OFFSET(I$112,MATCH($N$1,$C$112:$C$113,0)-1,0)</f>
        <v>20.100000000000001</v>
      </c>
      <c r="J31" s="33">
        <f ca="1">17.7*OFFSET(J$112,MATCH($N$1,$C$112:$C$113,0)-1,0)</f>
        <v>17.7</v>
      </c>
      <c r="K31" s="33">
        <f ca="1">22.4*OFFSET(K$112,MATCH($N$1,$C$112:$C$113,0)-1,0)</f>
        <v>22.4</v>
      </c>
      <c r="L31" s="33">
        <f ca="1">24.5*OFFSET(L$112,MATCH($N$1,$C$112:$C$113,0)-1,0)</f>
        <v>24.5</v>
      </c>
      <c r="M31" s="33">
        <f ca="1">19.5*OFFSET(M$112,MATCH($N$1,$C$112:$C$113,0)-1,0)</f>
        <v>19.5</v>
      </c>
      <c r="N31" s="33">
        <v>21.5</v>
      </c>
      <c r="O31" s="29">
        <f t="shared" ca="1" si="0"/>
        <v>0.45270270270270263</v>
      </c>
      <c r="P31" s="29">
        <f t="shared" ca="1" si="1"/>
        <v>0.21468926553672321</v>
      </c>
    </row>
    <row r="32" spans="1:16" ht="18" customHeight="1" x14ac:dyDescent="0.2">
      <c r="A32" s="199"/>
      <c r="B32" s="37" t="s">
        <v>74</v>
      </c>
      <c r="C32" s="33"/>
      <c r="D32" s="33">
        <f ca="1">9.1*OFFSET(D$112,MATCH($N$1,$C$112:$C$113,0)-1,0)</f>
        <v>9.1</v>
      </c>
      <c r="E32" s="33">
        <f ca="1">10.6*OFFSET(E$112,MATCH($N$1,$C$112:$C$113,0)-1,0)</f>
        <v>10.6</v>
      </c>
      <c r="F32" s="33">
        <f ca="1">10.2*OFFSET(F$112,MATCH($N$1,$C$112:$C$113,0)-1,0)</f>
        <v>10.199999999999999</v>
      </c>
      <c r="G32" s="33">
        <f ca="1">10.3*OFFSET(G$112,MATCH($N$1,$C$112:$C$113,0)-1,0)</f>
        <v>10.3</v>
      </c>
      <c r="H32" s="33">
        <f ca="1">8.7*OFFSET(H$112,MATCH($N$1,$C$112:$C$113,0)-1,0)</f>
        <v>8.6999999999999993</v>
      </c>
      <c r="I32" s="33">
        <f ca="1">10.3*OFFSET(I$112,MATCH($N$1,$C$112:$C$113,0)-1,0)</f>
        <v>10.3</v>
      </c>
      <c r="J32" s="33">
        <f ca="1">14.3*OFFSET(J$112,MATCH($N$1,$C$112:$C$113,0)-1,0)</f>
        <v>14.3</v>
      </c>
      <c r="K32" s="33">
        <f ca="1">8.6*OFFSET(K$112,MATCH($N$1,$C$112:$C$113,0)-1,0)</f>
        <v>8.6</v>
      </c>
      <c r="L32" s="33">
        <f ca="1">9.6*OFFSET(L$112,MATCH($N$1,$C$112:$C$113,0)-1,0)</f>
        <v>9.6</v>
      </c>
      <c r="M32" s="33">
        <f ca="1">9*OFFSET(M$112,MATCH($N$1,$C$112:$C$113,0)-1,0)</f>
        <v>9</v>
      </c>
      <c r="N32" s="33">
        <v>10</v>
      </c>
      <c r="O32" s="29">
        <f t="shared" ca="1" si="0"/>
        <v>9.8901098901098938E-2</v>
      </c>
      <c r="P32" s="29">
        <f t="shared" ca="1" si="1"/>
        <v>-0.30069930069930073</v>
      </c>
    </row>
    <row r="33" spans="1:16" ht="18" customHeight="1" x14ac:dyDescent="0.2">
      <c r="A33" s="199"/>
      <c r="B33" s="37" t="s">
        <v>75</v>
      </c>
      <c r="C33" s="33"/>
      <c r="D33" s="33">
        <f ca="1">33.8*OFFSET(D$112,MATCH($N$1,$C$112:$C$113,0)-1,0)</f>
        <v>33.799999999999997</v>
      </c>
      <c r="E33" s="33">
        <f ca="1">37.2*OFFSET(E$112,MATCH($N$1,$C$112:$C$113,0)-1,0)</f>
        <v>37.200000000000003</v>
      </c>
      <c r="F33" s="33">
        <f ca="1">38.4*OFFSET(F$112,MATCH($N$1,$C$112:$C$113,0)-1,0)</f>
        <v>38.4</v>
      </c>
      <c r="G33" s="33">
        <f ca="1">39.1*OFFSET(G$112,MATCH($N$1,$C$112:$C$113,0)-1,0)</f>
        <v>39.1</v>
      </c>
      <c r="H33" s="33">
        <f ca="1">35.3*OFFSET(H$112,MATCH($N$1,$C$112:$C$113,0)-1,0)</f>
        <v>35.299999999999997</v>
      </c>
      <c r="I33" s="33">
        <f ca="1">36.9*OFFSET(I$112,MATCH($N$1,$C$112:$C$113,0)-1,0)</f>
        <v>36.9</v>
      </c>
      <c r="J33" s="33">
        <f ca="1">37.6*OFFSET(J$112,MATCH($N$1,$C$112:$C$113,0)-1,0)</f>
        <v>37.6</v>
      </c>
      <c r="K33" s="33">
        <f ca="1">37.5*OFFSET(K$112,MATCH($N$1,$C$112:$C$113,0)-1,0)</f>
        <v>37.5</v>
      </c>
      <c r="L33" s="33">
        <f ca="1">40.5*OFFSET(L$112,MATCH($N$1,$C$112:$C$113,0)-1,0)</f>
        <v>40.5</v>
      </c>
      <c r="M33" s="33">
        <f ca="1">32.6*OFFSET(M$112,MATCH($N$1,$C$112:$C$113,0)-1,0)</f>
        <v>32.6</v>
      </c>
      <c r="N33" s="33">
        <v>36.700000000000003</v>
      </c>
      <c r="O33" s="29">
        <f t="shared" ca="1" si="0"/>
        <v>8.5798816568047512E-2</v>
      </c>
      <c r="P33" s="29">
        <f t="shared" ca="1" si="1"/>
        <v>-2.3936170212765919E-2</v>
      </c>
    </row>
    <row r="34" spans="1:16" ht="18" customHeight="1" x14ac:dyDescent="0.2">
      <c r="A34" s="199"/>
      <c r="B34" s="37" t="s">
        <v>76</v>
      </c>
      <c r="C34" s="33"/>
      <c r="D34" s="33">
        <f ca="1">12*OFFSET(D$112,MATCH($N$1,$C$112:$C$113,0)-1,0)</f>
        <v>12</v>
      </c>
      <c r="E34" s="33">
        <f ca="1">12.9*OFFSET(E$112,MATCH($N$1,$C$112:$C$113,0)-1,0)</f>
        <v>12.9</v>
      </c>
      <c r="F34" s="33">
        <f ca="1">11.4*OFFSET(F$112,MATCH($N$1,$C$112:$C$113,0)-1,0)</f>
        <v>11.4</v>
      </c>
      <c r="G34" s="33">
        <f ca="1">12.8*OFFSET(G$112,MATCH($N$1,$C$112:$C$113,0)-1,0)</f>
        <v>12.8</v>
      </c>
      <c r="H34" s="33">
        <f ca="1">13.5*OFFSET(H$112,MATCH($N$1,$C$112:$C$113,0)-1,0)</f>
        <v>13.5</v>
      </c>
      <c r="I34" s="33">
        <f ca="1">13.1*OFFSET(I$112,MATCH($N$1,$C$112:$C$113,0)-1,0)</f>
        <v>13.1</v>
      </c>
      <c r="J34" s="33">
        <f ca="1">14.2*OFFSET(J$112,MATCH($N$1,$C$112:$C$113,0)-1,0)</f>
        <v>14.2</v>
      </c>
      <c r="K34" s="33">
        <f ca="1">15.5*OFFSET(K$112,MATCH($N$1,$C$112:$C$113,0)-1,0)</f>
        <v>15.5</v>
      </c>
      <c r="L34" s="33">
        <f ca="1">17.5*OFFSET(L$112,MATCH($N$1,$C$112:$C$113,0)-1,0)</f>
        <v>17.5</v>
      </c>
      <c r="M34" s="33">
        <f ca="1">16.5*OFFSET(M$112,MATCH($N$1,$C$112:$C$113,0)-1,0)</f>
        <v>16.5</v>
      </c>
      <c r="N34" s="33">
        <v>15.4</v>
      </c>
      <c r="O34" s="29">
        <f t="shared" ca="1" si="0"/>
        <v>0.28333333333333338</v>
      </c>
      <c r="P34" s="29">
        <f t="shared" ca="1" si="1"/>
        <v>8.4507042253521208E-2</v>
      </c>
    </row>
    <row r="35" spans="1:16" ht="18" customHeight="1" x14ac:dyDescent="0.2">
      <c r="A35" s="199"/>
      <c r="B35" s="37" t="s">
        <v>77</v>
      </c>
      <c r="C35" s="33"/>
      <c r="D35" s="33">
        <f ca="1">45.9*OFFSET(D$112,MATCH($N$1,$C$112:$C$113,0)-1,0)</f>
        <v>45.9</v>
      </c>
      <c r="E35" s="33">
        <f ca="1">50.2*OFFSET(E$112,MATCH($N$1,$C$112:$C$113,0)-1,0)</f>
        <v>50.2</v>
      </c>
      <c r="F35" s="33">
        <f ca="1">49.9*OFFSET(F$112,MATCH($N$1,$C$112:$C$113,0)-1,0)</f>
        <v>49.9</v>
      </c>
      <c r="G35" s="33">
        <f ca="1">51.9*OFFSET(G$112,MATCH($N$1,$C$112:$C$113,0)-1,0)</f>
        <v>51.9</v>
      </c>
      <c r="H35" s="33">
        <f ca="1">48.9*OFFSET(H$112,MATCH($N$1,$C$112:$C$113,0)-1,0)</f>
        <v>48.9</v>
      </c>
      <c r="I35" s="33">
        <f ca="1">50*OFFSET(I$112,MATCH($N$1,$C$112:$C$113,0)-1,0)</f>
        <v>50</v>
      </c>
      <c r="J35" s="33">
        <f ca="1">51.7*OFFSET(J$112,MATCH($N$1,$C$112:$C$113,0)-1,0)</f>
        <v>51.7</v>
      </c>
      <c r="K35" s="33">
        <f ca="1">53.1*OFFSET(K$112,MATCH($N$1,$C$112:$C$113,0)-1,0)</f>
        <v>53.1</v>
      </c>
      <c r="L35" s="33">
        <f ca="1">58*OFFSET(L$112,MATCH($N$1,$C$112:$C$113,0)-1,0)</f>
        <v>58</v>
      </c>
      <c r="M35" s="33">
        <f ca="1">49*OFFSET(M$112,MATCH($N$1,$C$112:$C$113,0)-1,0)</f>
        <v>49</v>
      </c>
      <c r="N35" s="33">
        <v>52.1</v>
      </c>
      <c r="O35" s="29">
        <f t="shared" ca="1" si="0"/>
        <v>0.13507625272331161</v>
      </c>
      <c r="P35" s="29">
        <f t="shared" ca="1" si="1"/>
        <v>7.7369439071566454E-3</v>
      </c>
    </row>
    <row r="36" spans="1:16" ht="18" customHeight="1" x14ac:dyDescent="0.2">
      <c r="A36" s="199"/>
      <c r="B36" s="42" t="s">
        <v>78</v>
      </c>
      <c r="C36" s="43"/>
      <c r="D36" s="43">
        <f ca="1">29.8*OFFSET(D$112,MATCH($N$1,$C$112:$C$113,0)-1,0)</f>
        <v>29.8</v>
      </c>
      <c r="E36" s="43">
        <f ca="1">28*OFFSET(E$112,MATCH($N$1,$C$112:$C$113,0)-1,0)</f>
        <v>28</v>
      </c>
      <c r="F36" s="43">
        <f ca="1">32.3*OFFSET(F$112,MATCH($N$1,$C$112:$C$113,0)-1,0)</f>
        <v>32.299999999999997</v>
      </c>
      <c r="G36" s="43">
        <f ca="1">31.5*OFFSET(G$112,MATCH($N$1,$C$112:$C$113,0)-1,0)</f>
        <v>31.5</v>
      </c>
      <c r="H36" s="43">
        <f ca="1">31.2*OFFSET(H$112,MATCH($N$1,$C$112:$C$113,0)-1,0)</f>
        <v>31.2</v>
      </c>
      <c r="I36" s="43">
        <f ca="1">42.7*OFFSET(I$112,MATCH($N$1,$C$112:$C$113,0)-1,0)</f>
        <v>42.7</v>
      </c>
      <c r="J36" s="43">
        <f ca="1">36.7*OFFSET(J$112,MATCH($N$1,$C$112:$C$113,0)-1,0)</f>
        <v>36.700000000000003</v>
      </c>
      <c r="K36" s="43">
        <f ca="1">44.4*OFFSET(K$112,MATCH($N$1,$C$112:$C$113,0)-1,0)</f>
        <v>44.4</v>
      </c>
      <c r="L36" s="43">
        <f ca="1">46.6*OFFSET(L$112,MATCH($N$1,$C$112:$C$113,0)-1,0)</f>
        <v>46.6</v>
      </c>
      <c r="M36" s="43">
        <f ca="1">39.4*OFFSET(M$112,MATCH($N$1,$C$112:$C$113,0)-1,0)</f>
        <v>39.4</v>
      </c>
      <c r="N36" s="43">
        <v>41.5</v>
      </c>
      <c r="O36" s="29">
        <f t="shared" ca="1" si="0"/>
        <v>0.39261744966442952</v>
      </c>
      <c r="P36" s="29">
        <f t="shared" ca="1" si="1"/>
        <v>0.13079019073569473</v>
      </c>
    </row>
    <row r="37" spans="1:16" ht="18" customHeight="1" x14ac:dyDescent="0.2">
      <c r="A37" s="199"/>
      <c r="B37" s="42" t="s">
        <v>79</v>
      </c>
      <c r="C37" s="43"/>
      <c r="D37" s="43">
        <f ca="1">15*OFFSET(D$112,MATCH($N$1,$C$112:$C$113,0)-1,0)</f>
        <v>15</v>
      </c>
      <c r="E37" s="43">
        <f ca="1">11.5*OFFSET(E$112,MATCH($N$1,$C$112:$C$113,0)-1,0)</f>
        <v>11.5</v>
      </c>
      <c r="F37" s="43">
        <f ca="1">14.1*OFFSET(F$112,MATCH($N$1,$C$112:$C$113,0)-1,0)</f>
        <v>14.1</v>
      </c>
      <c r="G37" s="43">
        <f ca="1">12.7*OFFSET(G$112,MATCH($N$1,$C$112:$C$113,0)-1,0)</f>
        <v>12.7</v>
      </c>
      <c r="H37" s="43">
        <f ca="1">12.1*OFFSET(H$112,MATCH($N$1,$C$112:$C$113,0)-1,0)</f>
        <v>12.1</v>
      </c>
      <c r="I37" s="43">
        <f ca="1">22.6*OFFSET(I$112,MATCH($N$1,$C$112:$C$113,0)-1,0)</f>
        <v>22.6</v>
      </c>
      <c r="J37" s="43">
        <f ca="1">19*OFFSET(J$112,MATCH($N$1,$C$112:$C$113,0)-1,0)</f>
        <v>19</v>
      </c>
      <c r="K37" s="43">
        <f ca="1">22*OFFSET(K$112,MATCH($N$1,$C$112:$C$113,0)-1,0)</f>
        <v>22</v>
      </c>
      <c r="L37" s="43">
        <f ca="1">22.1*OFFSET(L$112,MATCH($N$1,$C$112:$C$113,0)-1,0)</f>
        <v>22.1</v>
      </c>
      <c r="M37" s="43">
        <f ca="1">19.9*OFFSET(M$112,MATCH($N$1,$C$112:$C$113,0)-1,0)</f>
        <v>19.899999999999999</v>
      </c>
      <c r="N37" s="43">
        <v>20</v>
      </c>
      <c r="O37" s="29">
        <f t="shared" ca="1" si="0"/>
        <v>0.33333333333333331</v>
      </c>
      <c r="P37" s="29">
        <f t="shared" ca="1" si="1"/>
        <v>5.2631578947368418E-2</v>
      </c>
    </row>
    <row r="38" spans="1:16" ht="18" customHeight="1" x14ac:dyDescent="0.2">
      <c r="A38" s="199"/>
      <c r="B38" s="37" t="s">
        <v>80</v>
      </c>
      <c r="C38" s="33"/>
      <c r="D38" s="33">
        <f ca="1">3.1*OFFSET(D$112,MATCH($N$1,$C$112:$C$113,0)-1,0)</f>
        <v>3.1</v>
      </c>
      <c r="E38" s="33">
        <f ca="1">3.3*OFFSET(E$112,MATCH($N$1,$C$112:$C$113,0)-1,0)</f>
        <v>3.3</v>
      </c>
      <c r="F38" s="33">
        <f ca="1">4.4*OFFSET(F$112,MATCH($N$1,$C$112:$C$113,0)-1,0)</f>
        <v>4.4000000000000004</v>
      </c>
      <c r="G38" s="33">
        <f ca="1">4.6*OFFSET(G$112,MATCH($N$1,$C$112:$C$113,0)-1,0)</f>
        <v>4.5999999999999996</v>
      </c>
      <c r="H38" s="33">
        <f ca="1">4.4*OFFSET(H$112,MATCH($N$1,$C$112:$C$113,0)-1,0)</f>
        <v>4.4000000000000004</v>
      </c>
      <c r="I38" s="33">
        <f ca="1">4.7*OFFSET(I$112,MATCH($N$1,$C$112:$C$113,0)-1,0)</f>
        <v>4.7</v>
      </c>
      <c r="J38" s="33">
        <f ca="1">4.4*OFFSET(J$112,MATCH($N$1,$C$112:$C$113,0)-1,0)</f>
        <v>4.4000000000000004</v>
      </c>
      <c r="K38" s="33">
        <f ca="1">5*OFFSET(K$112,MATCH($N$1,$C$112:$C$113,0)-1,0)</f>
        <v>5</v>
      </c>
      <c r="L38" s="33">
        <f ca="1">5.8*OFFSET(L$112,MATCH($N$1,$C$112:$C$113,0)-1,0)</f>
        <v>5.8</v>
      </c>
      <c r="M38" s="33">
        <f ca="1">6.5*OFFSET(M$112,MATCH($N$1,$C$112:$C$113,0)-1,0)</f>
        <v>6.5</v>
      </c>
      <c r="N38" s="33"/>
      <c r="O38" s="29" t="str">
        <f t="shared" si="0"/>
        <v/>
      </c>
      <c r="P38" s="29" t="str">
        <f t="shared" si="1"/>
        <v/>
      </c>
    </row>
    <row r="39" spans="1:16" ht="18" customHeight="1" x14ac:dyDescent="0.2">
      <c r="A39" s="199"/>
      <c r="B39" s="37" t="s">
        <v>81</v>
      </c>
      <c r="C39" s="33"/>
      <c r="D39" s="33">
        <f ca="1">0.7*OFFSET(D$112,MATCH($N$1,$C$112:$C$113,0)-1,0)</f>
        <v>0.7</v>
      </c>
      <c r="E39" s="33">
        <f ca="1">0.6*OFFSET(E$112,MATCH($N$1,$C$112:$C$113,0)-1,0)</f>
        <v>0.6</v>
      </c>
      <c r="F39" s="33">
        <f ca="1">0.5*OFFSET(F$112,MATCH($N$1,$C$112:$C$113,0)-1,0)</f>
        <v>0.5</v>
      </c>
      <c r="G39" s="33">
        <f ca="1">0.5*OFFSET(G$112,MATCH($N$1,$C$112:$C$113,0)-1,0)</f>
        <v>0.5</v>
      </c>
      <c r="H39" s="33">
        <f ca="1">0.5*OFFSET(H$112,MATCH($N$1,$C$112:$C$113,0)-1,0)</f>
        <v>0.5</v>
      </c>
      <c r="I39" s="33">
        <f ca="1">0.6*OFFSET(I$112,MATCH($N$1,$C$112:$C$113,0)-1,0)</f>
        <v>0.6</v>
      </c>
      <c r="J39" s="33">
        <f ca="1">0.4*OFFSET(J$112,MATCH($N$1,$C$112:$C$113,0)-1,0)</f>
        <v>0.4</v>
      </c>
      <c r="K39" s="33">
        <f ca="1">0.4*OFFSET(K$112,MATCH($N$1,$C$112:$C$113,0)-1,0)</f>
        <v>0.4</v>
      </c>
      <c r="L39" s="33">
        <f ca="1">0.6*OFFSET(L$112,MATCH($N$1,$C$112:$C$113,0)-1,0)</f>
        <v>0.6</v>
      </c>
      <c r="M39" s="33">
        <f ca="1">0.5*OFFSET(M$112,MATCH($N$1,$C$112:$C$113,0)-1,0)</f>
        <v>0.5</v>
      </c>
      <c r="N39" s="33"/>
      <c r="O39" s="29" t="str">
        <f t="shared" si="0"/>
        <v/>
      </c>
      <c r="P39" s="29" t="str">
        <f t="shared" si="1"/>
        <v/>
      </c>
    </row>
    <row r="40" spans="1:16" ht="18" customHeight="1" x14ac:dyDescent="0.2">
      <c r="A40" s="199"/>
      <c r="B40" s="37" t="s">
        <v>82</v>
      </c>
      <c r="C40" s="33"/>
      <c r="D40" s="33">
        <f ca="1">0.4*OFFSET(D$112,MATCH($N$1,$C$112:$C$113,0)-1,0)</f>
        <v>0.4</v>
      </c>
      <c r="E40" s="33">
        <f ca="1">0.4*OFFSET(E$112,MATCH($N$1,$C$112:$C$113,0)-1,0)</f>
        <v>0.4</v>
      </c>
      <c r="F40" s="33">
        <f ca="1">0.6*OFFSET(F$112,MATCH($N$1,$C$112:$C$113,0)-1,0)</f>
        <v>0.6</v>
      </c>
      <c r="G40" s="33">
        <f ca="1">0.7*OFFSET(G$112,MATCH($N$1,$C$112:$C$113,0)-1,0)</f>
        <v>0.7</v>
      </c>
      <c r="H40" s="33">
        <f ca="1">0.6*OFFSET(H$112,MATCH($N$1,$C$112:$C$113,0)-1,0)</f>
        <v>0.6</v>
      </c>
      <c r="I40" s="33">
        <f ca="1">0.5*OFFSET(I$112,MATCH($N$1,$C$112:$C$113,0)-1,0)</f>
        <v>0.5</v>
      </c>
      <c r="J40" s="33">
        <f ca="1">0.3*OFFSET(J$112,MATCH($N$1,$C$112:$C$113,0)-1,0)</f>
        <v>0.3</v>
      </c>
      <c r="K40" s="33">
        <f ca="1">0.4*OFFSET(K$112,MATCH($N$1,$C$112:$C$113,0)-1,0)</f>
        <v>0.4</v>
      </c>
      <c r="L40" s="33">
        <f ca="1">0.4*OFFSET(L$112,MATCH($N$1,$C$112:$C$113,0)-1,0)</f>
        <v>0.4</v>
      </c>
      <c r="M40" s="33">
        <f ca="1">0.4*OFFSET(M$112,MATCH($N$1,$C$112:$C$113,0)-1,0)</f>
        <v>0.4</v>
      </c>
      <c r="N40" s="33"/>
      <c r="O40" s="29" t="str">
        <f t="shared" si="0"/>
        <v/>
      </c>
      <c r="P40" s="29" t="str">
        <f t="shared" si="1"/>
        <v/>
      </c>
    </row>
    <row r="41" spans="1:16" ht="18" customHeight="1" thickBot="1" x14ac:dyDescent="0.25">
      <c r="A41" s="200"/>
      <c r="B41" s="44" t="s">
        <v>83</v>
      </c>
      <c r="C41" s="45"/>
      <c r="D41" s="45">
        <f ca="1">10.8*OFFSET(D$112,MATCH($N$1,$C$112:$C$113,0)-1,0)</f>
        <v>10.8</v>
      </c>
      <c r="E41" s="45">
        <f ca="1">7.2*OFFSET(E$112,MATCH($N$1,$C$112:$C$113,0)-1,0)</f>
        <v>7.2</v>
      </c>
      <c r="F41" s="45">
        <f ca="1">8.6*OFFSET(F$112,MATCH($N$1,$C$112:$C$113,0)-1,0)</f>
        <v>8.6</v>
      </c>
      <c r="G41" s="45">
        <f ca="1">6.9*OFFSET(G$112,MATCH($N$1,$C$112:$C$113,0)-1,0)</f>
        <v>6.9</v>
      </c>
      <c r="H41" s="45">
        <f ca="1">6.5*OFFSET(H$112,MATCH($N$1,$C$112:$C$113,0)-1,0)</f>
        <v>6.5</v>
      </c>
      <c r="I41" s="45">
        <f ca="1">16.8*OFFSET(I$112,MATCH($N$1,$C$112:$C$113,0)-1,0)</f>
        <v>16.8</v>
      </c>
      <c r="J41" s="45">
        <f ca="1">13.9*OFFSET(J$112,MATCH($N$1,$C$112:$C$113,0)-1,0)</f>
        <v>13.9</v>
      </c>
      <c r="K41" s="45">
        <f ca="1">16.2*OFFSET(K$112,MATCH($N$1,$C$112:$C$113,0)-1,0)</f>
        <v>16.2</v>
      </c>
      <c r="L41" s="45">
        <f ca="1">15.2*OFFSET(L$112,MATCH($N$1,$C$112:$C$113,0)-1,0)</f>
        <v>15.2</v>
      </c>
      <c r="M41" s="45">
        <f ca="1">8.1*OFFSET(M$112,MATCH($N$1,$C$112:$C$113,0)-1,0)</f>
        <v>8.1</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130</v>
      </c>
      <c r="F46" s="94" t="s">
        <v>130</v>
      </c>
      <c r="G46" s="94" t="s">
        <v>130</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Under 10m pots and traps</v>
      </c>
      <c r="C48" s="96"/>
      <c r="D48" s="96"/>
      <c r="E48" s="96"/>
      <c r="F48" s="96"/>
      <c r="G48" s="96"/>
      <c r="K48" s="96" t="str">
        <f>$B24&amp;CHAR(10)&amp;$A$1</f>
        <v>Operating profit per kW day at sea (£)
Under 10m pots and traps</v>
      </c>
    </row>
    <row r="49" spans="1:11" s="82" customFormat="1" x14ac:dyDescent="0.2">
      <c r="A49" s="96" t="str">
        <f>$B22&amp;CHAR(10)&amp;$A$1</f>
        <v>Fishing income per kW day at sea (£)
Under 10m pots and traps</v>
      </c>
    </row>
    <row r="50" spans="1:11" s="82" customFormat="1" x14ac:dyDescent="0.2">
      <c r="A50" s="96" t="str">
        <f>$B20&amp;CHAR(10)&amp;$A$1</f>
        <v>Average price per tonne landed (£)
Under 10m pots and traps</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Under 10m pots and traps</v>
      </c>
      <c r="F62" s="96" t="str">
        <f>$B20&amp;CHAR(10)&amp;$A$1</f>
        <v>Average price per tonne landed (£)
Under 10m pots and traps</v>
      </c>
      <c r="K62" s="96" t="str">
        <f>"Average annual operating profit per vessel (£'000)"&amp;CHAR(10)&amp;$A$1</f>
        <v>Average annual operating profit per vessel (£'000)
Under 10m pots and traps</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Under 10m pots and traps</v>
      </c>
      <c r="F76" s="96" t="str">
        <f>"Top 5 landed species by value in "&amp;A77&amp;CHAR(10)&amp;A1</f>
        <v>Top 5 landed species by value in 2020
Under 10m pots and traps</v>
      </c>
    </row>
    <row r="77" spans="1:11" s="96" customFormat="1" x14ac:dyDescent="0.2">
      <c r="A77" s="96">
        <v>2020</v>
      </c>
      <c r="B77" s="96" t="s">
        <v>484</v>
      </c>
      <c r="C77" s="97">
        <v>0.42854020870890436</v>
      </c>
      <c r="D77" s="98">
        <v>3050596</v>
      </c>
      <c r="G77" s="96" t="s">
        <v>485</v>
      </c>
      <c r="H77" s="97">
        <v>0.33265528120760574</v>
      </c>
      <c r="I77" s="98">
        <v>12153634</v>
      </c>
      <c r="K77" s="96" t="s">
        <v>87</v>
      </c>
    </row>
    <row r="78" spans="1:11" s="96" customFormat="1" x14ac:dyDescent="0.2">
      <c r="B78" s="96" t="s">
        <v>486</v>
      </c>
      <c r="C78" s="97">
        <v>0.299646250813909</v>
      </c>
      <c r="D78" s="98">
        <v>553960</v>
      </c>
      <c r="G78" s="96" t="s">
        <v>487</v>
      </c>
      <c r="H78" s="97">
        <v>0.17529716914493748</v>
      </c>
      <c r="I78" s="98">
        <v>553960</v>
      </c>
    </row>
    <row r="79" spans="1:11" s="96" customFormat="1" x14ac:dyDescent="0.2">
      <c r="B79" s="96" t="s">
        <v>488</v>
      </c>
      <c r="C79" s="97">
        <v>7.7334064499895633E-2</v>
      </c>
      <c r="D79" s="98">
        <v>12153634</v>
      </c>
      <c r="G79" s="96" t="s">
        <v>489</v>
      </c>
      <c r="H79" s="97">
        <v>0.17047823456675876</v>
      </c>
      <c r="I79" s="98">
        <v>3050596</v>
      </c>
    </row>
    <row r="80" spans="1:11" s="96" customFormat="1" x14ac:dyDescent="0.2">
      <c r="B80" s="96" t="s">
        <v>490</v>
      </c>
      <c r="C80" s="97">
        <v>6.8696097140189913E-2</v>
      </c>
      <c r="D80" s="98">
        <v>3689192</v>
      </c>
      <c r="G80" s="96" t="s">
        <v>491</v>
      </c>
      <c r="H80" s="97">
        <v>0.1254743513982606</v>
      </c>
      <c r="I80" s="98">
        <v>1692097</v>
      </c>
    </row>
    <row r="81" spans="1:19" s="96" customFormat="1" x14ac:dyDescent="0.2">
      <c r="B81" s="96" t="s">
        <v>492</v>
      </c>
      <c r="C81" s="97">
        <v>4.0329584014377945E-2</v>
      </c>
      <c r="D81" s="98">
        <v>1692097</v>
      </c>
      <c r="G81" s="110">
        <v>-0.06</v>
      </c>
      <c r="H81" s="97">
        <v>6.0323147486812854E-2</v>
      </c>
      <c r="I81" s="98">
        <v>1692097</v>
      </c>
    </row>
    <row r="82" spans="1:19" s="96" customFormat="1" x14ac:dyDescent="0.2">
      <c r="B82" s="96" t="s">
        <v>493</v>
      </c>
      <c r="C82" s="97">
        <v>8.5453794822723195E-2</v>
      </c>
      <c r="D82" s="98">
        <v>5920853</v>
      </c>
      <c r="G82" s="96" t="s">
        <v>494</v>
      </c>
      <c r="H82" s="97">
        <v>0.13577181619562451</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245</v>
      </c>
      <c r="D92" s="102">
        <v>0.36502556932876773</v>
      </c>
      <c r="E92" s="102">
        <v>0.34003652663415679</v>
      </c>
      <c r="F92" s="102">
        <v>0.36419418406921011</v>
      </c>
      <c r="G92" s="102">
        <v>0.35296323450458078</v>
      </c>
      <c r="H92" s="102">
        <v>0.3549799561924239</v>
      </c>
      <c r="I92" s="102">
        <v>0.37001449132522973</v>
      </c>
      <c r="J92" s="102">
        <v>0.34332332311956221</v>
      </c>
      <c r="K92" s="102">
        <v>0.33196366762313334</v>
      </c>
      <c r="L92" s="102">
        <v>0.33265528120760574</v>
      </c>
      <c r="M92" s="102">
        <v>0.38575612709796275</v>
      </c>
      <c r="O92" s="96">
        <v>12153634</v>
      </c>
    </row>
    <row r="93" spans="1:19" s="96" customFormat="1" hidden="1" x14ac:dyDescent="0.2">
      <c r="B93" s="96">
        <v>2</v>
      </c>
      <c r="C93" s="96" t="s">
        <v>104</v>
      </c>
      <c r="D93" s="102">
        <v>0.19887113656414013</v>
      </c>
      <c r="E93" s="102">
        <v>0.21913460467890972</v>
      </c>
      <c r="F93" s="102">
        <v>0.21996905331399605</v>
      </c>
      <c r="G93" s="102">
        <v>0.19513409480648133</v>
      </c>
      <c r="H93" s="102">
        <v>0.18724003629137176</v>
      </c>
      <c r="I93" s="102">
        <v>0.2215417344013417</v>
      </c>
      <c r="J93" s="102">
        <v>0.2661791796973853</v>
      </c>
      <c r="K93" s="102">
        <v>0.25243416361680987</v>
      </c>
      <c r="L93" s="102">
        <v>0.17529716914493748</v>
      </c>
      <c r="M93" s="102">
        <v>0.19390021287234951</v>
      </c>
      <c r="O93" s="96">
        <v>553960</v>
      </c>
    </row>
    <row r="94" spans="1:19" s="96" customFormat="1" hidden="1" x14ac:dyDescent="0.2">
      <c r="B94" s="96">
        <v>3</v>
      </c>
      <c r="C94" s="96" t="s">
        <v>248</v>
      </c>
      <c r="D94" s="102">
        <v>0.11513054749764493</v>
      </c>
      <c r="E94" s="102">
        <v>0.15137428864624347</v>
      </c>
      <c r="F94" s="102">
        <v>0.14810159426481262</v>
      </c>
      <c r="G94" s="102">
        <v>0.16970908477680197</v>
      </c>
      <c r="H94" s="102">
        <v>0.15707506835919924</v>
      </c>
      <c r="I94" s="102">
        <v>0.14292730706938964</v>
      </c>
      <c r="J94" s="102">
        <v>0.11895798980968077</v>
      </c>
      <c r="K94" s="102">
        <v>0.13530044921453477</v>
      </c>
      <c r="L94" s="102">
        <v>0.17047823456675876</v>
      </c>
      <c r="M94" s="102">
        <v>0.11556809422841513</v>
      </c>
      <c r="O94" s="96">
        <v>3050596</v>
      </c>
    </row>
    <row r="95" spans="1:19" s="96" customFormat="1" hidden="1" x14ac:dyDescent="0.2">
      <c r="B95" s="96">
        <v>4</v>
      </c>
      <c r="C95" s="96" t="s">
        <v>102</v>
      </c>
      <c r="D95" s="102">
        <v>0.16247934641206993</v>
      </c>
      <c r="E95" s="102">
        <v>0.15990272546177953</v>
      </c>
      <c r="F95" s="102">
        <v>0.13795101368633267</v>
      </c>
      <c r="G95" s="102">
        <v>0.13848288586096147</v>
      </c>
      <c r="H95" s="102">
        <v>0.13288444592665466</v>
      </c>
      <c r="I95" s="102">
        <v>0.12102599100790816</v>
      </c>
      <c r="J95" s="102">
        <v>0.13122629878249964</v>
      </c>
      <c r="K95" s="102">
        <v>0.11925742096401275</v>
      </c>
      <c r="L95" s="102">
        <v>0.1254743513982606</v>
      </c>
      <c r="M95" s="102">
        <v>0.11186777777952679</v>
      </c>
      <c r="O95" s="96">
        <v>1692097</v>
      </c>
    </row>
    <row r="96" spans="1:19" s="96" customFormat="1" hidden="1" x14ac:dyDescent="0.2">
      <c r="B96" s="96">
        <v>5</v>
      </c>
      <c r="C96" s="96" t="s">
        <v>249</v>
      </c>
      <c r="D96" s="102">
        <v>7.8410383988516227E-2</v>
      </c>
      <c r="E96" s="102">
        <v>5.9482192273110968E-2</v>
      </c>
      <c r="F96" s="102">
        <v>5.7562983323076494E-2</v>
      </c>
      <c r="G96" s="102">
        <v>5.6248885906698916E-2</v>
      </c>
      <c r="H96" s="102">
        <v>5.5268666611520821E-2</v>
      </c>
      <c r="I96" s="102">
        <v>5.7635457025674929E-2</v>
      </c>
      <c r="J96" s="102">
        <v>4.782274144942928E-2</v>
      </c>
      <c r="K96" s="102">
        <v>4.9533016767458402E-2</v>
      </c>
      <c r="L96" s="102"/>
      <c r="M96" s="102"/>
      <c r="O96" s="96">
        <v>3689192</v>
      </c>
    </row>
    <row r="97" spans="1:15" s="96" customFormat="1" hidden="1" x14ac:dyDescent="0.2">
      <c r="B97" s="96">
        <v>6</v>
      </c>
      <c r="C97" s="96" t="s">
        <v>107</v>
      </c>
      <c r="D97" s="102">
        <v>8.0083016208861046E-2</v>
      </c>
      <c r="E97" s="102">
        <v>7.0069662305799529E-2</v>
      </c>
      <c r="F97" s="102">
        <v>7.2221171342572082E-2</v>
      </c>
      <c r="G97" s="102">
        <v>8.7461814144475541E-2</v>
      </c>
      <c r="H97" s="102">
        <v>0.11255182661882963</v>
      </c>
      <c r="I97" s="102">
        <v>8.6855019170455836E-2</v>
      </c>
      <c r="J97" s="102">
        <v>9.2490467141442823E-2</v>
      </c>
      <c r="K97" s="102">
        <v>0.11151128181405086</v>
      </c>
      <c r="L97" s="102">
        <v>0.13577181619562456</v>
      </c>
      <c r="M97" s="102">
        <v>0.12098248695979771</v>
      </c>
      <c r="O97" s="96">
        <v>5920853</v>
      </c>
    </row>
    <row r="98" spans="1:15" s="96" customFormat="1" hidden="1" x14ac:dyDescent="0.2">
      <c r="B98" s="96">
        <v>7</v>
      </c>
      <c r="D98" s="102"/>
      <c r="E98" s="102"/>
      <c r="F98" s="102"/>
      <c r="G98" s="102"/>
      <c r="H98" s="102"/>
      <c r="I98" s="102"/>
      <c r="J98" s="102"/>
      <c r="K98" s="102"/>
      <c r="L98" s="102"/>
      <c r="M98" s="102"/>
      <c r="O98" s="96">
        <v>2480382</v>
      </c>
    </row>
    <row r="99" spans="1:15" s="96" customFormat="1" hidden="1" x14ac:dyDescent="0.2">
      <c r="B99" s="96">
        <v>8</v>
      </c>
      <c r="D99" s="102"/>
      <c r="E99" s="102"/>
      <c r="F99" s="102"/>
      <c r="G99" s="102"/>
      <c r="H99" s="102"/>
      <c r="I99" s="102"/>
      <c r="J99" s="102"/>
      <c r="K99" s="102"/>
      <c r="L99" s="102"/>
      <c r="M99" s="102"/>
      <c r="O99" s="96">
        <v>7434864</v>
      </c>
    </row>
    <row r="100" spans="1:15" s="96" customFormat="1" hidden="1" x14ac:dyDescent="0.2">
      <c r="B100" s="96">
        <v>9</v>
      </c>
      <c r="D100" s="102"/>
      <c r="E100" s="102"/>
      <c r="F100" s="102"/>
      <c r="G100" s="102"/>
      <c r="H100" s="102"/>
      <c r="I100" s="102"/>
      <c r="J100" s="102"/>
      <c r="K100" s="102"/>
      <c r="L100" s="102"/>
      <c r="M100" s="102"/>
      <c r="O100" s="96">
        <v>8497745</v>
      </c>
    </row>
    <row r="101" spans="1:15" s="96" customFormat="1" hidden="1" x14ac:dyDescent="0.2">
      <c r="B101" s="96">
        <v>10</v>
      </c>
      <c r="D101" s="102"/>
      <c r="E101" s="102"/>
      <c r="F101" s="102"/>
      <c r="G101" s="102"/>
      <c r="H101" s="102"/>
      <c r="I101" s="102"/>
      <c r="J101" s="102"/>
      <c r="K101" s="102"/>
      <c r="L101" s="102"/>
      <c r="M101" s="102"/>
      <c r="O101" s="96">
        <v>14393110</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7</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305</v>
      </c>
      <c r="D120" s="56">
        <v>611</v>
      </c>
      <c r="E120" s="56">
        <v>305</v>
      </c>
      <c r="F120" s="57">
        <v>1087</v>
      </c>
    </row>
    <row r="121" spans="1:15" ht="18" customHeight="1" x14ac:dyDescent="0.2">
      <c r="A121" s="194" t="s">
        <v>27</v>
      </c>
      <c r="B121" s="35" t="s">
        <v>62</v>
      </c>
      <c r="C121" s="58">
        <v>7.9815411567687988</v>
      </c>
      <c r="D121" s="58">
        <v>8.1065954685991599</v>
      </c>
      <c r="E121" s="58">
        <v>7.7655739784240723</v>
      </c>
      <c r="F121" s="59">
        <v>8.1038732528686523</v>
      </c>
    </row>
    <row r="122" spans="1:15" ht="18" customHeight="1" x14ac:dyDescent="0.2">
      <c r="A122" s="195"/>
      <c r="B122" s="37" t="s">
        <v>55</v>
      </c>
      <c r="C122" s="60">
        <v>82.377052307128906</v>
      </c>
      <c r="D122" s="60">
        <v>80.97872346668899</v>
      </c>
      <c r="E122" s="60">
        <v>67.33770751953125</v>
      </c>
      <c r="F122" s="61">
        <v>82.289787292480469</v>
      </c>
    </row>
    <row r="123" spans="1:15" ht="18" customHeight="1" x14ac:dyDescent="0.2">
      <c r="A123" s="195"/>
      <c r="B123" s="37" t="s">
        <v>56</v>
      </c>
      <c r="C123" s="60">
        <v>4.5723686218261719</v>
      </c>
      <c r="D123" s="60">
        <v>4.7106106355420501</v>
      </c>
      <c r="E123" s="60">
        <v>4.2117433547973633</v>
      </c>
      <c r="F123" s="61">
        <v>4.7542028427124023</v>
      </c>
    </row>
    <row r="124" spans="1:15" ht="18" customHeight="1" x14ac:dyDescent="0.2">
      <c r="A124" s="195"/>
      <c r="B124" s="37" t="s">
        <v>57</v>
      </c>
      <c r="C124" s="60">
        <v>63.058063507080078</v>
      </c>
      <c r="D124" s="60">
        <v>62.573458045672275</v>
      </c>
      <c r="E124" s="60">
        <v>54.997562408447266</v>
      </c>
      <c r="F124" s="61">
        <v>63.782814025878906</v>
      </c>
    </row>
    <row r="125" spans="1:15" ht="18" customHeight="1" x14ac:dyDescent="0.2">
      <c r="A125" s="195"/>
      <c r="B125" s="37" t="s">
        <v>58</v>
      </c>
      <c r="C125" s="33">
        <v>35.806068420410156</v>
      </c>
      <c r="D125" s="33">
        <v>19.292144407031969</v>
      </c>
      <c r="E125" s="33">
        <v>9.2861766815185547</v>
      </c>
      <c r="F125" s="62">
        <v>19.609199523925781</v>
      </c>
    </row>
    <row r="126" spans="1:15" ht="18" customHeight="1" x14ac:dyDescent="0.2">
      <c r="A126" s="195"/>
      <c r="B126" s="37" t="s">
        <v>63</v>
      </c>
      <c r="C126" s="33">
        <f ca="1">128.3483984375*OFFSET($L$112,MATCH($N$1,$C$112:$C$113,0)-1,0)</f>
        <v>128.34839843750001</v>
      </c>
      <c r="D126" s="33">
        <f ca="1">71.0397982815057*OFFSET($L$112,MATCH($N$1,$C$112:$C$113,0)-1,0)</f>
        <v>71.039798281505696</v>
      </c>
      <c r="E126" s="33">
        <f ca="1">32.94177734375*OFFSET($L$112,MATCH($N$1,$C$112:$C$113,0)-1,0)</f>
        <v>32.941777343749997</v>
      </c>
      <c r="F126" s="62">
        <f ca="1">59.85351953125*OFFSET($L$112,MATCH($N$1,$C$112:$C$113,0)-1,0)</f>
        <v>59.853519531250001</v>
      </c>
    </row>
    <row r="127" spans="1:15" ht="18" customHeight="1" x14ac:dyDescent="0.2">
      <c r="A127" s="195"/>
      <c r="B127" s="37" t="s">
        <v>60</v>
      </c>
      <c r="C127" s="60">
        <v>63.61639404296875</v>
      </c>
      <c r="D127" s="60">
        <v>89.189853649482785</v>
      </c>
      <c r="E127" s="60">
        <v>101.2786865234375</v>
      </c>
      <c r="F127" s="61">
        <v>76.524375915527344</v>
      </c>
    </row>
    <row r="128" spans="1:15" ht="18" customHeight="1" x14ac:dyDescent="0.2">
      <c r="A128" s="195"/>
      <c r="B128" s="37" t="s">
        <v>64</v>
      </c>
      <c r="C128" s="60">
        <v>22.458471298217773</v>
      </c>
      <c r="D128" s="60">
        <v>24.225963283482628</v>
      </c>
      <c r="E128" s="60">
        <v>26.399999618530273</v>
      </c>
      <c r="F128" s="61">
        <v>24.691938400268555</v>
      </c>
    </row>
    <row r="129" spans="1:15" ht="18" customHeight="1" x14ac:dyDescent="0.2">
      <c r="A129" s="195"/>
      <c r="B129" s="37" t="s">
        <v>65</v>
      </c>
      <c r="C129" s="63">
        <v>0.5628434419631958</v>
      </c>
      <c r="D129" s="63">
        <v>0.2163042500647028</v>
      </c>
      <c r="E129" s="63">
        <v>9.1689348220825195E-2</v>
      </c>
      <c r="F129" s="64">
        <v>0.25624775886535645</v>
      </c>
    </row>
    <row r="130" spans="1:15" ht="18" customHeight="1" x14ac:dyDescent="0.2">
      <c r="A130" s="196"/>
      <c r="B130" s="39" t="s">
        <v>28</v>
      </c>
      <c r="C130" s="40">
        <f ca="1">3584.54318219252*OFFSET($L$112,MATCH($N$1,$C$112:$C$113,0)-1,0)</f>
        <v>3584.5431821925199</v>
      </c>
      <c r="D130" s="40">
        <f ca="1">3682.31736102969*OFFSET($L$112,MATCH($N$1,$C$112:$C$113,0)-1,0)</f>
        <v>3682.3173610296899</v>
      </c>
      <c r="E130" s="40">
        <f ca="1">3547.39937366377*OFFSET($L$112,MATCH($N$1,$C$112:$C$113,0)-1,0)</f>
        <v>3547.3993736637699</v>
      </c>
      <c r="F130" s="65">
        <f ca="1">3052*OFFSET($L$112,MATCH($N$1,$C$112:$C$113,0)-1,0)</f>
        <v>3052</v>
      </c>
    </row>
    <row r="131" spans="1:15" ht="18" customHeight="1" x14ac:dyDescent="0.2">
      <c r="A131" s="205" t="s">
        <v>29</v>
      </c>
      <c r="B131" s="35" t="s">
        <v>66</v>
      </c>
      <c r="C131" s="66">
        <v>5.5432923084191623</v>
      </c>
      <c r="D131" s="66">
        <v>2.3645075009691792</v>
      </c>
      <c r="E131" s="66">
        <v>1.3364658763778419</v>
      </c>
      <c r="F131" s="67">
        <v>2.8002414689489772</v>
      </c>
    </row>
    <row r="132" spans="1:15" ht="18" customHeight="1" x14ac:dyDescent="0.2">
      <c r="A132" s="206"/>
      <c r="B132" s="37" t="s">
        <v>67</v>
      </c>
      <c r="C132" s="63">
        <f ca="1">19.8701706510441*OFFSET($L$112,MATCH($N$1,$C$112:$C$113,0)-1,0)</f>
        <v>19.870170651044099</v>
      </c>
      <c r="D132" s="63">
        <f ca="1">8.70686702110374*OFFSET($L$112,MATCH($N$1,$C$112:$C$113,0)-1,0)</f>
        <v>8.70686702110374</v>
      </c>
      <c r="E132" s="63">
        <f ca="1">4.74097821278575*OFFSET($L$112,MATCH($N$1,$C$112:$C$113,0)-1,0)</f>
        <v>4.74097821278575</v>
      </c>
      <c r="F132" s="64">
        <f ca="1">8.54722841946989*OFFSET($L$112,MATCH($N$1,$C$112:$C$113,0)-1,0)</f>
        <v>8.5472284194698904</v>
      </c>
    </row>
    <row r="133" spans="1:15" ht="18" customHeight="1" x14ac:dyDescent="0.2">
      <c r="A133" s="206"/>
      <c r="B133" s="37" t="s">
        <v>11</v>
      </c>
      <c r="C133" s="63">
        <f ca="1">13.1809877728432*OFFSET($L$112,MATCH($N$1,$C$112:$C$113,0)-1,0)</f>
        <v>13.180987772843199</v>
      </c>
      <c r="D133" s="63">
        <f ca="1">6.2734606898191*OFFSET($L$112,MATCH($N$1,$C$112:$C$113,0)-1,0)</f>
        <v>6.2734606898190997</v>
      </c>
      <c r="E133" s="63">
        <f ca="1">3.97719094021244*OFFSET($L$112,MATCH($N$1,$C$112:$C$113,0)-1,0)</f>
        <v>3.9771909402124401</v>
      </c>
      <c r="F133" s="64">
        <f ca="1">5.71199426112709*OFFSET($L$112,MATCH($N$1,$C$112:$C$113,0)-1,0)</f>
        <v>5.7119942611270904</v>
      </c>
    </row>
    <row r="134" spans="1:15" ht="18" customHeight="1" x14ac:dyDescent="0.2">
      <c r="A134" s="207"/>
      <c r="B134" s="39" t="s">
        <v>12</v>
      </c>
      <c r="C134" s="68">
        <f ca="1">6.68918287820089*OFFSET($L$112,MATCH($N$1,$C$112:$C$113,0)-1,0)</f>
        <v>6.6891828782008904</v>
      </c>
      <c r="D134" s="68">
        <f ca="1">2.43340633128464*OFFSET($L$112,MATCH($N$1,$C$112:$C$113,0)-1,0)</f>
        <v>2.4334063312846399</v>
      </c>
      <c r="E134" s="68">
        <f ca="1">0.76378727257331*OFFSET($L$112,MATCH($N$1,$C$112:$C$113,0)-1,0)</f>
        <v>0.76378727257331003</v>
      </c>
      <c r="F134" s="69">
        <f ca="1">2.8352341583428*OFFSET($L$112,MATCH($N$1,$C$112:$C$113,0)-1,0)</f>
        <v>2.8352341583428</v>
      </c>
    </row>
    <row r="135" spans="1:15" ht="18" customHeight="1" x14ac:dyDescent="0.2">
      <c r="A135" s="208" t="s">
        <v>49</v>
      </c>
      <c r="B135" s="37" t="s">
        <v>109</v>
      </c>
      <c r="C135" s="70">
        <f ca="1">4.97044970703125*OFFSET($L$112,MATCH($N$1,$C$112:$C$113,0)-1,0)</f>
        <v>4.9704497070312499</v>
      </c>
      <c r="D135" s="70">
        <f ca="1">6.81196612638733*OFFSET($L$112,MATCH($N$1,$C$112:$C$113,0)-1,0)</f>
        <v>6.8119661263873299</v>
      </c>
      <c r="E135" s="70">
        <f ca="1">7.05834814453125*OFFSET($L$112,MATCH($N$1,$C$112:$C$113,0)-1,0)</f>
        <v>7.0583481445312497</v>
      </c>
      <c r="F135" s="71">
        <f ca="1">4.1269287109375*OFFSET($L$112,MATCH($N$1,$C$112:$C$113,0)-1,0)</f>
        <v>4.1269287109375004</v>
      </c>
    </row>
    <row r="136" spans="1:15" ht="18" customHeight="1" x14ac:dyDescent="0.2">
      <c r="A136" s="209"/>
      <c r="B136" s="37" t="s">
        <v>110</v>
      </c>
      <c r="C136" s="31">
        <v>9511.8691493915394</v>
      </c>
      <c r="D136" s="31">
        <v>13034.95883951444</v>
      </c>
      <c r="E136" s="31">
        <v>13486.950240004808</v>
      </c>
      <c r="F136" s="72">
        <v>11360.66237350506</v>
      </c>
    </row>
    <row r="137" spans="1:15" ht="18" customHeight="1" x14ac:dyDescent="0.2">
      <c r="A137" s="209"/>
      <c r="B137" s="37" t="s">
        <v>111</v>
      </c>
      <c r="C137" s="31">
        <v>149.51914978027344</v>
      </c>
      <c r="D137" s="31">
        <v>146.14844969632966</v>
      </c>
      <c r="E137" s="31">
        <v>133.16671752929688</v>
      </c>
      <c r="F137" s="72">
        <v>148.45808410644531</v>
      </c>
    </row>
    <row r="138" spans="1:15" ht="18" customHeight="1" x14ac:dyDescent="0.2">
      <c r="A138" s="209"/>
      <c r="B138" s="37" t="s">
        <v>112</v>
      </c>
      <c r="C138" s="31">
        <f ca="1">78.1315851331346*OFFSET($L$112,MATCH($N$1,$C$112:$C$113,0)-1,0)</f>
        <v>78.131585133134607</v>
      </c>
      <c r="D138" s="31">
        <f ca="1">76.3760208998485*OFFSET($L$112,MATCH($N$1,$C$112:$C$113,0)-1,0)</f>
        <v>76.376020899848498</v>
      </c>
      <c r="E138" s="31">
        <f ca="1">69.6923349504324*OFFSET($L$112,MATCH($N$1,$C$112:$C$113,0)-1,0)</f>
        <v>69.692334950432397</v>
      </c>
      <c r="F138" s="72">
        <f ca="1">53.9295964398727*OFFSET($L$112,MATCH($N$1,$C$112:$C$113,0)-1,0)</f>
        <v>53.929596439872697</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138.815846762947*OFFSET($L$112,MATCH($N$1,$C$112:$C$113,0)-1,0)</f>
        <v>138.81584676294699</v>
      </c>
      <c r="D139" s="31">
        <f ca="1">353.095331585035*OFFSET($L$112,MATCH($N$1,$C$112:$C$113,0)-1,0)</f>
        <v>353.09533158503501</v>
      </c>
      <c r="E139" s="31">
        <f ca="1">760.091950283355*OFFSET($L$112,MATCH($N$1,$C$112:$C$113,0)-1,0)</f>
        <v>760.091950283355</v>
      </c>
      <c r="F139" s="72">
        <f ca="1">210.458805618358*OFFSET($L$112,MATCH($N$1,$C$112:$C$113,0)-1,0)</f>
        <v>210.45880561835801</v>
      </c>
      <c r="I139" s="48"/>
      <c r="K139" s="73" t="s">
        <v>114</v>
      </c>
      <c r="L139" s="74">
        <f t="shared" ref="L139:M141" ca="1" si="2">C140</f>
        <v>135.51529687499999</v>
      </c>
      <c r="M139" s="74">
        <f t="shared" ca="1" si="2"/>
        <v>75.0066231715426</v>
      </c>
      <c r="N139" s="74">
        <f ca="1">E140</f>
        <v>34.781226562500002</v>
      </c>
      <c r="O139" s="74"/>
    </row>
    <row r="140" spans="1:15" ht="18" customHeight="1" x14ac:dyDescent="0.2">
      <c r="A140" s="187" t="s">
        <v>50</v>
      </c>
      <c r="B140" s="35" t="s">
        <v>115</v>
      </c>
      <c r="C140" s="75">
        <f ca="1">135.515296875*OFFSET($L$112,MATCH($N$1,$C$112:$C$113,0)-1,0)</f>
        <v>135.51529687499999</v>
      </c>
      <c r="D140" s="75">
        <f ca="1">75.0066231715426*OFFSET($L$112,MATCH($N$1,$C$112:$C$113,0)-1,0)</f>
        <v>75.0066231715426</v>
      </c>
      <c r="E140" s="75">
        <f ca="1">34.7812265625*OFFSET($L$112,MATCH($N$1,$C$112:$C$113,0)-1,0)</f>
        <v>34.781226562500002</v>
      </c>
      <c r="F140" s="76">
        <f ca="1">68.8793828125*OFFSET($L$112,MATCH($N$1,$C$112:$C$113,0)-1,0)</f>
        <v>68.879382812499998</v>
      </c>
      <c r="I140" s="48"/>
      <c r="K140" s="73" t="s">
        <v>116</v>
      </c>
      <c r="L140" s="74">
        <f t="shared" ca="1" si="2"/>
        <v>92.307523437499995</v>
      </c>
      <c r="M140" s="74">
        <f t="shared" ca="1" si="2"/>
        <v>55.152329486753302</v>
      </c>
      <c r="N140" s="74">
        <f ca="1">E141</f>
        <v>29.474197265625001</v>
      </c>
      <c r="O140" s="74"/>
    </row>
    <row r="141" spans="1:15" ht="18" customHeight="1" x14ac:dyDescent="0.2">
      <c r="A141" s="188"/>
      <c r="B141" s="37" t="s">
        <v>117</v>
      </c>
      <c r="C141" s="31">
        <f ca="1">92.3075234375*OFFSET($L$112,MATCH($N$1,$C$112:$C$113,0)-1,0)</f>
        <v>92.307523437499995</v>
      </c>
      <c r="D141" s="31">
        <f ca="1">55.1523294867533*OFFSET($L$112,MATCH($N$1,$C$112:$C$113,0)-1,0)</f>
        <v>55.152329486753302</v>
      </c>
      <c r="E141" s="31">
        <f ca="1">29.474197265625*OFFSET($L$112,MATCH($N$1,$C$112:$C$113,0)-1,0)</f>
        <v>29.474197265625001</v>
      </c>
      <c r="F141" s="72">
        <f ca="1">49.02513671875*OFFSET($L$112,MATCH($N$1,$C$112:$C$113,0)-1,0)</f>
        <v>49.025136718749998</v>
      </c>
      <c r="I141" s="48"/>
      <c r="K141" s="73" t="s">
        <v>118</v>
      </c>
      <c r="L141" s="74">
        <f t="shared" ca="1" si="2"/>
        <v>43.207773437500002</v>
      </c>
      <c r="M141" s="74">
        <f t="shared" ca="1" si="2"/>
        <v>19.854293684789301</v>
      </c>
      <c r="N141" s="74">
        <f ca="1">E142</f>
        <v>5.3070292968750001</v>
      </c>
      <c r="O141" s="74"/>
    </row>
    <row r="142" spans="1:15" ht="18" customHeight="1" x14ac:dyDescent="0.2">
      <c r="A142" s="189"/>
      <c r="B142" s="39" t="s">
        <v>119</v>
      </c>
      <c r="C142" s="40">
        <f ca="1">43.2077734375*OFFSET($L$112,MATCH($N$1,$C$112:$C$113,0)-1,0)</f>
        <v>43.207773437500002</v>
      </c>
      <c r="D142" s="40">
        <f ca="1">19.8542936847893*OFFSET($L$112,MATCH($N$1,$C$112:$C$113,0)-1,0)</f>
        <v>19.854293684789301</v>
      </c>
      <c r="E142" s="40">
        <f ca="1">5.307029296875*OFFSET($L$112,MATCH($N$1,$C$112:$C$113,0)-1,0)</f>
        <v>5.3070292968750001</v>
      </c>
      <c r="F142" s="65">
        <f ca="1">19.8542421875*OFFSET($L$112,MATCH($N$1,$C$112:$C$113,0)-1,0)</f>
        <v>19.854242187499999</v>
      </c>
      <c r="I142" s="48"/>
      <c r="K142" s="73" t="s">
        <v>120</v>
      </c>
      <c r="L142" s="77">
        <f ca="1">IFERROR(L140/L$139,"")</f>
        <v>0.68115943783560418</v>
      </c>
      <c r="M142" s="77">
        <f t="shared" ref="M142:N143" ca="1" si="3">IFERROR(M140/M$139,"")</f>
        <v>0.73529945963062648</v>
      </c>
      <c r="N142" s="77">
        <f t="shared" ca="1" si="3"/>
        <v>0.84741684462051525</v>
      </c>
      <c r="O142" s="77"/>
    </row>
    <row r="143" spans="1:15" ht="18" customHeight="1" x14ac:dyDescent="0.2">
      <c r="I143" s="48"/>
      <c r="K143" s="73" t="s">
        <v>121</v>
      </c>
      <c r="L143" s="77">
        <f ca="1">IFERROR(L141/L$139,"")</f>
        <v>0.31884056216439594</v>
      </c>
      <c r="M143" s="77">
        <f t="shared" ca="1" si="3"/>
        <v>0.26470054036937352</v>
      </c>
      <c r="N143" s="77">
        <f t="shared" ca="1" si="3"/>
        <v>0.15258315537948475</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7</v>
      </c>
      <c r="B161" s="53"/>
      <c r="C161" s="78" t="s">
        <v>45</v>
      </c>
      <c r="D161" s="78" t="s">
        <v>122</v>
      </c>
      <c r="E161" s="78" t="s">
        <v>47</v>
      </c>
      <c r="F161" s="78" t="s">
        <v>123</v>
      </c>
      <c r="G161" s="79">
        <v>7</v>
      </c>
      <c r="H161" s="78"/>
      <c r="I161" s="78" t="s">
        <v>45</v>
      </c>
      <c r="J161" s="78" t="s">
        <v>122</v>
      </c>
      <c r="K161" s="78" t="s">
        <v>47</v>
      </c>
      <c r="L161" s="53" t="s">
        <v>123</v>
      </c>
      <c r="R161" s="21"/>
      <c r="S161" s="21"/>
    </row>
    <row r="162" spans="1:19" s="48" customFormat="1" x14ac:dyDescent="0.2">
      <c r="A162" s="49">
        <v>1</v>
      </c>
      <c r="B162" s="53" t="s">
        <v>248</v>
      </c>
      <c r="C162" s="53">
        <v>7.6676127347781453E-2</v>
      </c>
      <c r="D162" s="53">
        <v>0.53065533037251034</v>
      </c>
      <c r="E162" s="53">
        <v>0.19862344533641638</v>
      </c>
      <c r="F162" s="49">
        <v>3050596</v>
      </c>
      <c r="G162" s="49">
        <v>1</v>
      </c>
      <c r="H162" s="53" t="s">
        <v>245</v>
      </c>
      <c r="I162" s="53">
        <v>0.1339186848686201</v>
      </c>
      <c r="J162" s="53">
        <v>0.31514833569697237</v>
      </c>
      <c r="K162" s="53">
        <v>0.36491295414169928</v>
      </c>
      <c r="L162" s="49">
        <v>12153634</v>
      </c>
      <c r="R162" s="21"/>
      <c r="S162" s="21"/>
    </row>
    <row r="163" spans="1:19" s="48" customFormat="1" x14ac:dyDescent="0.2">
      <c r="A163" s="49">
        <v>2</v>
      </c>
      <c r="B163" s="53" t="s">
        <v>104</v>
      </c>
      <c r="C163" s="53">
        <v>0.12936476919196016</v>
      </c>
      <c r="D163" s="53">
        <v>0.25773484540398434</v>
      </c>
      <c r="E163" s="53">
        <v>0.41939502065738443</v>
      </c>
      <c r="F163" s="49">
        <v>553960</v>
      </c>
      <c r="G163" s="49">
        <v>2</v>
      </c>
      <c r="H163" s="53" t="s">
        <v>248</v>
      </c>
      <c r="I163" s="53">
        <v>2.5532831056724919E-2</v>
      </c>
      <c r="J163" s="53">
        <v>0.22612930015861388</v>
      </c>
      <c r="K163" s="53">
        <v>7.1536864324364138E-2</v>
      </c>
      <c r="L163" s="49">
        <v>3050596</v>
      </c>
      <c r="N163" s="48" t="s">
        <v>124</v>
      </c>
      <c r="R163" s="21"/>
      <c r="S163" s="21"/>
    </row>
    <row r="164" spans="1:19" s="48" customFormat="1" x14ac:dyDescent="0.2">
      <c r="A164" s="49">
        <v>3</v>
      </c>
      <c r="B164" s="53" t="s">
        <v>245</v>
      </c>
      <c r="C164" s="53">
        <v>3.5055365752742727E-2</v>
      </c>
      <c r="D164" s="53">
        <v>6.8389868035939272E-2</v>
      </c>
      <c r="E164" s="53">
        <v>9.2700013059217948E-2</v>
      </c>
      <c r="F164" s="49">
        <v>12153634</v>
      </c>
      <c r="G164" s="49">
        <v>3</v>
      </c>
      <c r="H164" s="53" t="s">
        <v>104</v>
      </c>
      <c r="I164" s="53">
        <v>7.0228876180411598E-2</v>
      </c>
      <c r="J164" s="53">
        <v>0.16121828506475561</v>
      </c>
      <c r="K164" s="53">
        <v>0.21490923512988006</v>
      </c>
      <c r="L164" s="49">
        <v>553960</v>
      </c>
      <c r="N164" s="48" t="s">
        <v>125</v>
      </c>
      <c r="R164" s="21"/>
      <c r="S164" s="21"/>
    </row>
    <row r="165" spans="1:19" s="48" customFormat="1" x14ac:dyDescent="0.2">
      <c r="A165" s="49">
        <v>4</v>
      </c>
      <c r="B165" s="53" t="s">
        <v>249</v>
      </c>
      <c r="C165" s="53">
        <v>2.490541461283341E-2</v>
      </c>
      <c r="D165" s="53">
        <v>4.982193037329375E-2</v>
      </c>
      <c r="E165" s="53">
        <v>0.1599627211496151</v>
      </c>
      <c r="F165" s="49">
        <v>3689192</v>
      </c>
      <c r="G165" s="49">
        <v>4</v>
      </c>
      <c r="H165" s="53" t="s">
        <v>102</v>
      </c>
      <c r="I165" s="53">
        <v>6.3519476367319416E-2</v>
      </c>
      <c r="J165" s="53">
        <v>0.11188861771966148</v>
      </c>
      <c r="K165" s="53">
        <v>0.11758416454209156</v>
      </c>
      <c r="L165" s="49">
        <v>1692097</v>
      </c>
      <c r="R165" s="21"/>
      <c r="S165" s="21"/>
    </row>
    <row r="166" spans="1:19" s="48" customFormat="1" x14ac:dyDescent="0.2">
      <c r="A166" s="49">
        <v>5</v>
      </c>
      <c r="B166" s="53" t="s">
        <v>102</v>
      </c>
      <c r="C166" s="53">
        <v>2.256342601340201E-2</v>
      </c>
      <c r="D166" s="53">
        <v>3.3952035570778596E-2</v>
      </c>
      <c r="E166" s="53">
        <v>4.0870669933367548E-2</v>
      </c>
      <c r="F166" s="49">
        <v>1692097</v>
      </c>
      <c r="G166" s="49">
        <v>5</v>
      </c>
      <c r="H166" s="53" t="s">
        <v>249</v>
      </c>
      <c r="I166" s="53">
        <v>1.9735828935190894E-2</v>
      </c>
      <c r="J166" s="53">
        <v>0</v>
      </c>
      <c r="K166" s="53">
        <v>0.10863909529083932</v>
      </c>
      <c r="L166" s="49">
        <v>3689192</v>
      </c>
      <c r="R166" s="21"/>
      <c r="S166" s="21"/>
    </row>
    <row r="167" spans="1:19" s="48" customFormat="1" x14ac:dyDescent="0.2">
      <c r="A167" s="49">
        <v>6</v>
      </c>
      <c r="B167" s="53" t="s">
        <v>107</v>
      </c>
      <c r="C167" s="53">
        <v>0.71143489708128027</v>
      </c>
      <c r="D167" s="53">
        <v>5.9445990243493729E-2</v>
      </c>
      <c r="E167" s="53">
        <v>8.8448129863998637E-2</v>
      </c>
      <c r="F167" s="49">
        <v>5920853</v>
      </c>
      <c r="G167" s="49">
        <v>6</v>
      </c>
      <c r="H167" s="53" t="s">
        <v>107</v>
      </c>
      <c r="I167" s="53">
        <v>0.68706430259173312</v>
      </c>
      <c r="J167" s="53">
        <v>7.5771854059751509E-2</v>
      </c>
      <c r="K167" s="53">
        <v>0.12241768657112573</v>
      </c>
      <c r="L167" s="49">
        <v>5920853</v>
      </c>
      <c r="R167" s="21"/>
      <c r="S167" s="21"/>
    </row>
    <row r="168" spans="1:19" s="48" customFormat="1" x14ac:dyDescent="0.2">
      <c r="A168" s="49">
        <v>7</v>
      </c>
      <c r="B168" s="53"/>
      <c r="C168" s="53">
        <v>0</v>
      </c>
      <c r="D168" s="53">
        <v>0</v>
      </c>
      <c r="E168" s="53">
        <v>0</v>
      </c>
      <c r="F168" s="49">
        <v>1692097</v>
      </c>
      <c r="G168" s="49">
        <v>7</v>
      </c>
      <c r="H168" s="53"/>
      <c r="I168" s="53">
        <v>0</v>
      </c>
      <c r="J168" s="53">
        <v>0.10984360730024507</v>
      </c>
      <c r="K168" s="53">
        <v>0</v>
      </c>
      <c r="L168" s="49">
        <v>1692097</v>
      </c>
      <c r="R168" s="21"/>
      <c r="S168" s="21"/>
    </row>
    <row r="169" spans="1:19" s="48" customFormat="1" x14ac:dyDescent="0.2">
      <c r="A169" s="49">
        <v>8</v>
      </c>
      <c r="B169" s="53"/>
      <c r="C169" s="53">
        <v>0</v>
      </c>
      <c r="D169" s="53">
        <v>0</v>
      </c>
      <c r="E169" s="53">
        <v>0</v>
      </c>
      <c r="F169" s="49">
        <v>1692097</v>
      </c>
      <c r="G169" s="49">
        <v>8</v>
      </c>
      <c r="H169" s="53"/>
      <c r="I169" s="53">
        <v>0</v>
      </c>
      <c r="J169" s="53">
        <v>0.10984360730024507</v>
      </c>
      <c r="K169" s="53">
        <v>0</v>
      </c>
      <c r="L169" s="49">
        <v>1692097</v>
      </c>
      <c r="R169" s="21"/>
      <c r="S169" s="21"/>
    </row>
    <row r="170" spans="1:19" s="48" customFormat="1" x14ac:dyDescent="0.2">
      <c r="A170" s="49">
        <v>9</v>
      </c>
      <c r="B170" s="53"/>
      <c r="C170" s="53">
        <v>0</v>
      </c>
      <c r="D170" s="53">
        <v>0</v>
      </c>
      <c r="E170" s="53">
        <v>0</v>
      </c>
      <c r="F170" s="49">
        <v>1692097</v>
      </c>
      <c r="G170" s="49">
        <v>9</v>
      </c>
      <c r="H170" s="53"/>
      <c r="I170" s="53">
        <v>0</v>
      </c>
      <c r="J170" s="53">
        <v>0.10984360730024507</v>
      </c>
      <c r="K170" s="53">
        <v>0</v>
      </c>
      <c r="L170" s="49">
        <v>1692097</v>
      </c>
      <c r="R170" s="21"/>
      <c r="S170" s="21"/>
    </row>
    <row r="171" spans="1:19" s="48" customFormat="1" x14ac:dyDescent="0.2">
      <c r="A171" s="49">
        <v>10</v>
      </c>
      <c r="B171" s="53"/>
      <c r="C171" s="53">
        <v>0</v>
      </c>
      <c r="D171" s="53">
        <v>0</v>
      </c>
      <c r="E171" s="53">
        <v>0</v>
      </c>
      <c r="F171" s="49">
        <v>1692097</v>
      </c>
      <c r="G171" s="49">
        <v>10</v>
      </c>
      <c r="H171" s="53"/>
      <c r="I171" s="53">
        <v>0</v>
      </c>
      <c r="J171" s="53">
        <v>0.10984360730024507</v>
      </c>
      <c r="K171" s="53">
        <v>0</v>
      </c>
      <c r="L171" s="49">
        <v>1692097</v>
      </c>
      <c r="R171" s="21"/>
      <c r="S171" s="21"/>
    </row>
    <row r="172" spans="1:19" s="48" customFormat="1" x14ac:dyDescent="0.2">
      <c r="A172" s="49">
        <v>11</v>
      </c>
      <c r="B172" s="53"/>
      <c r="C172" s="53">
        <v>0</v>
      </c>
      <c r="D172" s="53">
        <v>0</v>
      </c>
      <c r="E172" s="53">
        <v>0</v>
      </c>
      <c r="F172" s="49">
        <v>1692097</v>
      </c>
      <c r="G172" s="49">
        <v>11</v>
      </c>
      <c r="H172" s="53"/>
      <c r="I172" s="53">
        <v>0</v>
      </c>
      <c r="J172" s="53">
        <v>0.10984360730024507</v>
      </c>
      <c r="K172" s="53">
        <v>0</v>
      </c>
      <c r="L172" s="49">
        <v>1692097</v>
      </c>
      <c r="R172" s="21"/>
      <c r="S172" s="21"/>
    </row>
    <row r="173" spans="1:19" s="48" customFormat="1" x14ac:dyDescent="0.2">
      <c r="A173" s="49">
        <v>12</v>
      </c>
      <c r="B173" s="53"/>
      <c r="C173" s="53">
        <v>0</v>
      </c>
      <c r="D173" s="53">
        <v>0</v>
      </c>
      <c r="E173" s="53">
        <v>0</v>
      </c>
      <c r="F173" s="49">
        <v>1692097</v>
      </c>
      <c r="G173" s="49">
        <v>12</v>
      </c>
      <c r="H173" s="53"/>
      <c r="I173" s="53">
        <v>0</v>
      </c>
      <c r="J173" s="53">
        <v>0.10984360730024507</v>
      </c>
      <c r="K173" s="53">
        <v>0</v>
      </c>
      <c r="L173" s="49">
        <v>1692097</v>
      </c>
      <c r="R173" s="21"/>
      <c r="S173" s="21"/>
    </row>
    <row r="174" spans="1:19" s="48" customFormat="1" x14ac:dyDescent="0.2">
      <c r="A174" s="49">
        <v>13</v>
      </c>
      <c r="B174" s="53"/>
      <c r="C174" s="53">
        <v>0</v>
      </c>
      <c r="D174" s="53">
        <v>0</v>
      </c>
      <c r="E174" s="53">
        <v>0</v>
      </c>
      <c r="F174" s="49">
        <v>1692097</v>
      </c>
      <c r="G174" s="49">
        <v>13</v>
      </c>
      <c r="H174" s="53"/>
      <c r="I174" s="53">
        <v>0</v>
      </c>
      <c r="J174" s="53">
        <v>0.10984360730024507</v>
      </c>
      <c r="K174" s="53">
        <v>0</v>
      </c>
      <c r="L174" s="49">
        <v>1692097</v>
      </c>
      <c r="R174" s="21"/>
      <c r="S174" s="21"/>
    </row>
    <row r="175" spans="1:19" s="48" customFormat="1" x14ac:dyDescent="0.2">
      <c r="A175" s="49">
        <v>14</v>
      </c>
      <c r="B175" s="53"/>
      <c r="C175" s="53">
        <v>0</v>
      </c>
      <c r="D175" s="53">
        <v>0</v>
      </c>
      <c r="E175" s="53">
        <v>0</v>
      </c>
      <c r="F175" s="49">
        <v>1692097</v>
      </c>
      <c r="G175" s="49">
        <v>14</v>
      </c>
      <c r="H175" s="53"/>
      <c r="I175" s="53">
        <v>0</v>
      </c>
      <c r="J175" s="53">
        <v>0.10984360730024507</v>
      </c>
      <c r="K175" s="53">
        <v>0</v>
      </c>
      <c r="L175" s="49">
        <v>1692097</v>
      </c>
      <c r="R175" s="21"/>
      <c r="S175" s="21"/>
    </row>
    <row r="176" spans="1:19" s="48" customFormat="1" x14ac:dyDescent="0.2">
      <c r="A176" s="49">
        <v>15</v>
      </c>
      <c r="B176" s="53"/>
      <c r="C176" s="53">
        <v>0</v>
      </c>
      <c r="D176" s="53">
        <v>0</v>
      </c>
      <c r="E176" s="53">
        <v>0</v>
      </c>
      <c r="F176" s="49">
        <v>1692097</v>
      </c>
      <c r="G176" s="49">
        <v>15</v>
      </c>
      <c r="H176" s="53"/>
      <c r="I176" s="53">
        <v>0</v>
      </c>
      <c r="J176" s="53">
        <v>0.10984360730024507</v>
      </c>
      <c r="K176" s="53">
        <v>0</v>
      </c>
      <c r="L176" s="49">
        <v>1692097</v>
      </c>
      <c r="R176" s="21"/>
      <c r="S176" s="21"/>
    </row>
    <row r="177" spans="1:19" s="48" customFormat="1" x14ac:dyDescent="0.2">
      <c r="A177" s="49">
        <v>16</v>
      </c>
      <c r="B177" s="53"/>
      <c r="C177" s="53">
        <v>0</v>
      </c>
      <c r="D177" s="53">
        <v>0</v>
      </c>
      <c r="E177" s="53">
        <v>0</v>
      </c>
      <c r="F177" s="49">
        <v>1692097</v>
      </c>
      <c r="G177" s="49">
        <v>16</v>
      </c>
      <c r="H177" s="53"/>
      <c r="I177" s="53">
        <v>0</v>
      </c>
      <c r="J177" s="53">
        <v>0.10984360730024507</v>
      </c>
      <c r="K177" s="53">
        <v>0</v>
      </c>
      <c r="L177" s="49">
        <v>1692097</v>
      </c>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28FC8EEE-5169-430A-8C4B-A3C9F3389AB3}">
      <formula1>$C$112:$C$113</formula1>
    </dataValidation>
  </dataValidations>
  <hyperlinks>
    <hyperlink ref="O1:P1" location="Home_page" display="Back to home page" xr:uid="{A147A0B1-66A5-40D8-8F95-50236B7E93F5}"/>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A52762DA-C1E4-4CE4-8024-E3C8C97D4D90}">
          <x14:colorSeries rgb="FF323232"/>
          <x14:colorNegative rgb="FFD00000"/>
          <x14:colorAxis rgb="FF000000"/>
          <x14:colorMarkers rgb="FFD00000"/>
          <x14:colorFirst rgb="FFD00000"/>
          <x14:colorLast rgb="FFD00000"/>
          <x14:colorHigh rgb="FFD00000"/>
          <x14:colorLow rgb="FFD00000"/>
          <x14:sparklines>
            <x14:sparkline>
              <xm:f>'U10m pots and traps'!D3:N3</xm:f>
              <xm:sqref>C3</xm:sqref>
            </x14:sparkline>
            <x14:sparkline>
              <xm:f>'U10m pots and traps'!D4:N4</xm:f>
              <xm:sqref>C4</xm:sqref>
            </x14:sparkline>
            <x14:sparkline>
              <xm:f>'U10m pots and traps'!D5:N5</xm:f>
              <xm:sqref>C5</xm:sqref>
            </x14:sparkline>
            <x14:sparkline>
              <xm:f>'U10m pots and traps'!D6:N6</xm:f>
              <xm:sqref>C6</xm:sqref>
            </x14:sparkline>
            <x14:sparkline>
              <xm:f>'U10m pots and traps'!D7:N7</xm:f>
              <xm:sqref>C7</xm:sqref>
            </x14:sparkline>
            <x14:sparkline>
              <xm:f>'U10m pots and traps'!D8:N8</xm:f>
              <xm:sqref>C8</xm:sqref>
            </x14:sparkline>
            <x14:sparkline>
              <xm:f>'U10m pots and traps'!D9:N9</xm:f>
              <xm:sqref>C9</xm:sqref>
            </x14:sparkline>
            <x14:sparkline>
              <xm:f>'U10m pots and traps'!D10:N10</xm:f>
              <xm:sqref>C10</xm:sqref>
            </x14:sparkline>
            <x14:sparkline>
              <xm:f>'U10m pots and traps'!D11:N11</xm:f>
              <xm:sqref>C11</xm:sqref>
            </x14:sparkline>
            <x14:sparkline>
              <xm:f>'U10m pots and traps'!D12:N12</xm:f>
              <xm:sqref>C12</xm:sqref>
            </x14:sparkline>
            <x14:sparkline>
              <xm:f>'U10m pots and traps'!D13:N13</xm:f>
              <xm:sqref>C13</xm:sqref>
            </x14:sparkline>
            <x14:sparkline>
              <xm:f>'U10m pots and traps'!D14:N14</xm:f>
              <xm:sqref>C14</xm:sqref>
            </x14:sparkline>
            <x14:sparkline>
              <xm:f>'U10m pots and traps'!D15:N15</xm:f>
              <xm:sqref>C15</xm:sqref>
            </x14:sparkline>
            <x14:sparkline>
              <xm:f>'U10m pots and traps'!D16:N16</xm:f>
              <xm:sqref>C16</xm:sqref>
            </x14:sparkline>
            <x14:sparkline>
              <xm:f>'U10m pots and traps'!D17:N17</xm:f>
              <xm:sqref>C17</xm:sqref>
            </x14:sparkline>
            <x14:sparkline>
              <xm:f>'U10m pots and traps'!D18:N18</xm:f>
              <xm:sqref>C18</xm:sqref>
            </x14:sparkline>
            <x14:sparkline>
              <xm:f>'U10m pots and traps'!D19:N19</xm:f>
              <xm:sqref>C19</xm:sqref>
            </x14:sparkline>
            <x14:sparkline>
              <xm:f>'U10m pots and traps'!D20:N20</xm:f>
              <xm:sqref>C20</xm:sqref>
            </x14:sparkline>
            <x14:sparkline>
              <xm:f>'U10m pots and traps'!D21:N21</xm:f>
              <xm:sqref>C21</xm:sqref>
            </x14:sparkline>
            <x14:sparkline>
              <xm:f>'U10m pots and traps'!D22:N22</xm:f>
              <xm:sqref>C22</xm:sqref>
            </x14:sparkline>
            <x14:sparkline>
              <xm:f>'U10m pots and traps'!D23:N23</xm:f>
              <xm:sqref>C23</xm:sqref>
            </x14:sparkline>
            <x14:sparkline>
              <xm:f>'U10m pots and traps'!D24:N24</xm:f>
              <xm:sqref>C24</xm:sqref>
            </x14:sparkline>
            <x14:sparkline>
              <xm:f>'U10m pots and traps'!D25:N25</xm:f>
              <xm:sqref>C25</xm:sqref>
            </x14:sparkline>
            <x14:sparkline>
              <xm:f>'U10m pots and traps'!D26:N26</xm:f>
              <xm:sqref>C26</xm:sqref>
            </x14:sparkline>
            <x14:sparkline>
              <xm:f>'U10m pots and traps'!D27:N27</xm:f>
              <xm:sqref>C27</xm:sqref>
            </x14:sparkline>
            <x14:sparkline>
              <xm:f>'U10m pots and traps'!D28:N28</xm:f>
              <xm:sqref>C28</xm:sqref>
            </x14:sparkline>
            <x14:sparkline>
              <xm:f>'U10m pots and traps'!D29:N29</xm:f>
              <xm:sqref>C29</xm:sqref>
            </x14:sparkline>
            <x14:sparkline>
              <xm:f>'U10m pots and traps'!D30:N30</xm:f>
              <xm:sqref>C30</xm:sqref>
            </x14:sparkline>
            <x14:sparkline>
              <xm:f>'U10m pots and traps'!D31:N31</xm:f>
              <xm:sqref>C31</xm:sqref>
            </x14:sparkline>
            <x14:sparkline>
              <xm:f>'U10m pots and traps'!D32:N32</xm:f>
              <xm:sqref>C32</xm:sqref>
            </x14:sparkline>
            <x14:sparkline>
              <xm:f>'U10m pots and traps'!D33:N33</xm:f>
              <xm:sqref>C33</xm:sqref>
            </x14:sparkline>
            <x14:sparkline>
              <xm:f>'U10m pots and traps'!D34:N34</xm:f>
              <xm:sqref>C34</xm:sqref>
            </x14:sparkline>
            <x14:sparkline>
              <xm:f>'U10m pots and traps'!D35:N35</xm:f>
              <xm:sqref>C35</xm:sqref>
            </x14:sparkline>
            <x14:sparkline>
              <xm:f>'U10m pots and traps'!D36:N36</xm:f>
              <xm:sqref>C36</xm:sqref>
            </x14:sparkline>
            <x14:sparkline>
              <xm:f>'U10m pots and traps'!D37:N37</xm:f>
              <xm:sqref>C37</xm:sqref>
            </x14:sparkline>
            <x14:sparkline>
              <xm:f>'U10m pots and traps'!D38:N38</xm:f>
              <xm:sqref>C38</xm:sqref>
            </x14:sparkline>
            <x14:sparkline>
              <xm:f>'U10m pots and traps'!D39:N39</xm:f>
              <xm:sqref>C39</xm:sqref>
            </x14:sparkline>
            <x14:sparkline>
              <xm:f>'U10m pots and traps'!D40:N40</xm:f>
              <xm:sqref>C40</xm:sqref>
            </x14:sparkline>
            <x14:sparkline>
              <xm:f>'U10m pots and traps'!D41:N41</xm:f>
              <xm:sqref>C41</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84FBD-CCDB-4CA6-AE89-3AF6BD6E8E79}">
  <sheetPr codeName="Feuil36">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495</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136</v>
      </c>
      <c r="E3" s="28">
        <v>142</v>
      </c>
      <c r="F3" s="28">
        <v>149</v>
      </c>
      <c r="G3" s="28">
        <v>149</v>
      </c>
      <c r="H3" s="28">
        <v>137</v>
      </c>
      <c r="I3" s="28">
        <v>167</v>
      </c>
      <c r="J3" s="28">
        <v>232</v>
      </c>
      <c r="K3" s="28">
        <v>208</v>
      </c>
      <c r="L3" s="28">
        <v>198</v>
      </c>
      <c r="M3" s="28">
        <v>201</v>
      </c>
      <c r="N3" s="28">
        <v>231</v>
      </c>
      <c r="O3" s="29">
        <f t="shared" ref="O3:O41" si="0">IF(N3=0,"",IFERROR(IF(AND(N3&gt;0,D3&lt;0),"na",IF(AND(N3&lt;0,D3&lt;0),-1,1)*(N3-D3)/D3),""))</f>
        <v>0.69852941176470584</v>
      </c>
      <c r="P3" s="29">
        <f t="shared" ref="P3:P41" si="1">IF(N3=0,"",IFERROR(IF(AND(N3&gt;0,J3&lt;0),"na",IF(AND(N3&lt;0,J3&lt;0),-1,1)*(N3-J3)/J3),""))</f>
        <v>-4.3103448275862068E-3</v>
      </c>
    </row>
    <row r="4" spans="1:17" ht="18" customHeight="1" x14ac:dyDescent="0.2">
      <c r="A4" s="193"/>
      <c r="B4" s="30" t="s">
        <v>55</v>
      </c>
      <c r="C4" s="31"/>
      <c r="D4" s="31">
        <v>9398</v>
      </c>
      <c r="E4" s="31">
        <v>9212</v>
      </c>
      <c r="F4" s="31">
        <v>10135</v>
      </c>
      <c r="G4" s="31">
        <v>10053</v>
      </c>
      <c r="H4" s="31">
        <v>10086</v>
      </c>
      <c r="I4" s="31">
        <v>10911</v>
      </c>
      <c r="J4" s="31">
        <v>14576</v>
      </c>
      <c r="K4" s="31">
        <v>14030</v>
      </c>
      <c r="L4" s="31">
        <v>13712</v>
      </c>
      <c r="M4" s="31">
        <v>13686</v>
      </c>
      <c r="N4" s="31">
        <v>15204.8701171875</v>
      </c>
      <c r="O4" s="29">
        <f t="shared" si="0"/>
        <v>0.61788360472307935</v>
      </c>
      <c r="P4" s="29">
        <f t="shared" si="1"/>
        <v>4.3144217699471736E-2</v>
      </c>
    </row>
    <row r="5" spans="1:17" ht="18" customHeight="1" x14ac:dyDescent="0.2">
      <c r="A5" s="193"/>
      <c r="B5" s="30" t="s">
        <v>56</v>
      </c>
      <c r="C5" s="31"/>
      <c r="D5" s="31">
        <v>419.35000610351563</v>
      </c>
      <c r="E5" s="31">
        <v>418</v>
      </c>
      <c r="F5" s="31">
        <v>418</v>
      </c>
      <c r="G5" s="31">
        <v>449.35000610351563</v>
      </c>
      <c r="H5" s="31">
        <v>425</v>
      </c>
      <c r="I5" s="31">
        <v>514</v>
      </c>
      <c r="J5" s="31">
        <v>676.489990234375</v>
      </c>
      <c r="K5" s="31">
        <v>562.489990234375</v>
      </c>
      <c r="L5" s="31">
        <v>575.489990234375</v>
      </c>
      <c r="M5" s="31">
        <v>576.489990234375</v>
      </c>
      <c r="N5" s="31">
        <v>621.92999267578125</v>
      </c>
      <c r="O5" s="29">
        <f t="shared" si="0"/>
        <v>0.48308091957499388</v>
      </c>
      <c r="P5" s="29">
        <f t="shared" si="1"/>
        <v>-8.0651596248587559E-2</v>
      </c>
      <c r="Q5" s="32"/>
    </row>
    <row r="6" spans="1:17" ht="18" customHeight="1" x14ac:dyDescent="0.2">
      <c r="A6" s="193"/>
      <c r="B6" s="30" t="s">
        <v>57</v>
      </c>
      <c r="C6" s="31"/>
      <c r="D6" s="31">
        <v>6948.15966796875</v>
      </c>
      <c r="E6" s="31">
        <v>6816.39599609375</v>
      </c>
      <c r="F6" s="31">
        <v>7312.14453125</v>
      </c>
      <c r="G6" s="31">
        <v>7407.4072265625</v>
      </c>
      <c r="H6" s="31">
        <v>7331.07666015625</v>
      </c>
      <c r="I6" s="31">
        <v>8207.0869140625</v>
      </c>
      <c r="J6" s="31">
        <v>11126.53125</v>
      </c>
      <c r="K6" s="31">
        <v>10247.287109375</v>
      </c>
      <c r="L6" s="31">
        <v>9658.572265625</v>
      </c>
      <c r="M6" s="31">
        <v>9587.708984375</v>
      </c>
      <c r="N6" s="31">
        <v>10422.3623046875</v>
      </c>
      <c r="O6" s="29">
        <f t="shared" si="0"/>
        <v>0.50001767413822418</v>
      </c>
      <c r="P6" s="29">
        <f t="shared" si="1"/>
        <v>-6.3287374069299449E-2</v>
      </c>
    </row>
    <row r="7" spans="1:17" ht="18" customHeight="1" x14ac:dyDescent="0.2">
      <c r="A7" s="193"/>
      <c r="B7" s="30" t="s">
        <v>58</v>
      </c>
      <c r="C7" s="31"/>
      <c r="D7" s="31">
        <v>1766.010986328125</v>
      </c>
      <c r="E7" s="31">
        <v>1978.85009765625</v>
      </c>
      <c r="F7" s="31">
        <v>1749.77783203125</v>
      </c>
      <c r="G7" s="31">
        <v>1492.0423583984375</v>
      </c>
      <c r="H7" s="31">
        <v>1708.530029296875</v>
      </c>
      <c r="I7" s="31">
        <v>2198.673583984375</v>
      </c>
      <c r="J7" s="31">
        <v>2809.7783203125</v>
      </c>
      <c r="K7" s="31">
        <v>2219.70263671875</v>
      </c>
      <c r="L7" s="31">
        <v>2337.367919921875</v>
      </c>
      <c r="M7" s="31">
        <v>2092.073486328125</v>
      </c>
      <c r="N7" s="31">
        <v>2229.69775390625</v>
      </c>
      <c r="O7" s="29">
        <f t="shared" si="0"/>
        <v>0.26256165514701502</v>
      </c>
      <c r="P7" s="29">
        <f t="shared" si="1"/>
        <v>-0.20645065207198771</v>
      </c>
    </row>
    <row r="8" spans="1:17" ht="18" customHeight="1" x14ac:dyDescent="0.2">
      <c r="A8" s="193"/>
      <c r="B8" s="30" t="s">
        <v>59</v>
      </c>
      <c r="C8" s="33"/>
      <c r="D8" s="33">
        <f ca="1">5.438509*OFFSET(D$112,MATCH($N$1,$C$112:$C$113,0)-1,0)</f>
        <v>5.4385089999999998</v>
      </c>
      <c r="E8" s="33">
        <f ca="1">6.3908645*OFFSET(E$112,MATCH($N$1,$C$112:$C$113,0)-1,0)</f>
        <v>6.3908645000000002</v>
      </c>
      <c r="F8" s="33">
        <f ca="1">5.8266385*OFFSET(F$112,MATCH($N$1,$C$112:$C$113,0)-1,0)</f>
        <v>5.8266384999999996</v>
      </c>
      <c r="G8" s="33">
        <f ca="1">5.2656495*OFFSET(G$112,MATCH($N$1,$C$112:$C$113,0)-1,0)</f>
        <v>5.2656495000000003</v>
      </c>
      <c r="H8" s="33">
        <f ca="1">5.882615*OFFSET(H$112,MATCH($N$1,$C$112:$C$113,0)-1,0)</f>
        <v>5.8826150000000004</v>
      </c>
      <c r="I8" s="33">
        <f ca="1">7.370662*OFFSET(I$112,MATCH($N$1,$C$112:$C$113,0)-1,0)</f>
        <v>7.3706620000000003</v>
      </c>
      <c r="J8" s="33">
        <f ca="1">9.786534*OFFSET(J$112,MATCH($N$1,$C$112:$C$113,0)-1,0)</f>
        <v>9.7865339999999996</v>
      </c>
      <c r="K8" s="33">
        <f ca="1">9.139012*OFFSET(K$112,MATCH($N$1,$C$112:$C$113,0)-1,0)</f>
        <v>9.1390119999999992</v>
      </c>
      <c r="L8" s="33">
        <f ca="1">9.94244*OFFSET(L$112,MATCH($N$1,$C$112:$C$113,0)-1,0)</f>
        <v>9.9424399999999995</v>
      </c>
      <c r="M8" s="33">
        <f ca="1">7.3228105*OFFSET(M$112,MATCH($N$1,$C$112:$C$113,0)-1,0)</f>
        <v>7.3228105000000001</v>
      </c>
      <c r="N8" s="33">
        <v>8.8519889999999997</v>
      </c>
      <c r="O8" s="29">
        <f t="shared" ca="1" si="0"/>
        <v>0.62764996803351802</v>
      </c>
      <c r="P8" s="29">
        <f t="shared" ca="1" si="1"/>
        <v>-9.5492949802248678E-2</v>
      </c>
    </row>
    <row r="9" spans="1:17" ht="18" customHeight="1" x14ac:dyDescent="0.2">
      <c r="A9" s="193"/>
      <c r="B9" s="30" t="s">
        <v>60</v>
      </c>
      <c r="C9" s="31"/>
      <c r="D9" s="31">
        <v>11220</v>
      </c>
      <c r="E9" s="31">
        <v>11905</v>
      </c>
      <c r="F9" s="31">
        <v>10860</v>
      </c>
      <c r="G9" s="31">
        <v>11465</v>
      </c>
      <c r="H9" s="31">
        <v>11302</v>
      </c>
      <c r="I9" s="31">
        <v>11975</v>
      </c>
      <c r="J9" s="31">
        <v>13884</v>
      </c>
      <c r="K9" s="31">
        <v>12258</v>
      </c>
      <c r="L9" s="31">
        <v>12191</v>
      </c>
      <c r="M9" s="31">
        <v>10381</v>
      </c>
      <c r="N9" s="31">
        <v>12680</v>
      </c>
      <c r="O9" s="29">
        <f t="shared" si="0"/>
        <v>0.13012477718360071</v>
      </c>
      <c r="P9" s="29">
        <f t="shared" si="1"/>
        <v>-8.6718524920772116E-2</v>
      </c>
    </row>
    <row r="10" spans="1:17" ht="18" customHeight="1" x14ac:dyDescent="0.2">
      <c r="A10" s="193"/>
      <c r="B10" s="30" t="s">
        <v>61</v>
      </c>
      <c r="C10" s="31"/>
      <c r="D10" s="31">
        <v>128.176513671875</v>
      </c>
      <c r="E10" s="31">
        <v>118.16372680664063</v>
      </c>
      <c r="F10" s="31">
        <v>95.66009521484375</v>
      </c>
      <c r="G10" s="31">
        <v>133.83795166015625</v>
      </c>
      <c r="H10" s="31">
        <v>181.71565246582031</v>
      </c>
      <c r="I10" s="31">
        <v>85.836700439453125</v>
      </c>
      <c r="J10" s="31">
        <v>129.91995239257813</v>
      </c>
      <c r="K10" s="31">
        <v>109.05701446533203</v>
      </c>
      <c r="L10" s="31">
        <v>97.005081176757813</v>
      </c>
      <c r="M10" s="31">
        <v>85.700141906738281</v>
      </c>
      <c r="N10" s="31">
        <v>103.47708129882813</v>
      </c>
      <c r="O10" s="34">
        <f t="shared" si="0"/>
        <v>-0.19269858155352934</v>
      </c>
      <c r="P10" s="34">
        <f t="shared" si="1"/>
        <v>-0.20353202573418269</v>
      </c>
    </row>
    <row r="11" spans="1:17" ht="18" customHeight="1" x14ac:dyDescent="0.2">
      <c r="A11" s="194" t="s">
        <v>27</v>
      </c>
      <c r="B11" s="35" t="s">
        <v>62</v>
      </c>
      <c r="C11" s="36"/>
      <c r="D11" s="36">
        <v>7.1501469612121582</v>
      </c>
      <c r="E11" s="36">
        <v>6.9870424270629883</v>
      </c>
      <c r="F11" s="36">
        <v>6.9713420867919922</v>
      </c>
      <c r="G11" s="36">
        <v>7.0336241722106934</v>
      </c>
      <c r="H11" s="36">
        <v>7.2269344329833984</v>
      </c>
      <c r="I11" s="36">
        <v>7.1674251556396484</v>
      </c>
      <c r="J11" s="36">
        <v>7.1288361549377441</v>
      </c>
      <c r="K11" s="36">
        <v>6.9937019348144531</v>
      </c>
      <c r="L11" s="36">
        <v>7.1015152931213379</v>
      </c>
      <c r="M11" s="36">
        <v>7.1032834053039551</v>
      </c>
      <c r="N11" s="36">
        <v>7.0414719581604004</v>
      </c>
      <c r="O11" s="29">
        <f t="shared" si="0"/>
        <v>-1.5198988725867285E-2</v>
      </c>
      <c r="P11" s="29">
        <f t="shared" si="1"/>
        <v>-1.2255043443077519E-2</v>
      </c>
    </row>
    <row r="12" spans="1:17" ht="18" customHeight="1" x14ac:dyDescent="0.2">
      <c r="A12" s="195"/>
      <c r="B12" s="37" t="s">
        <v>55</v>
      </c>
      <c r="C12" s="31"/>
      <c r="D12" s="31">
        <v>69.102943420410156</v>
      </c>
      <c r="E12" s="31">
        <v>64.873237609863281</v>
      </c>
      <c r="F12" s="31">
        <v>68.020133972167969</v>
      </c>
      <c r="G12" s="31">
        <v>67.925674438476563</v>
      </c>
      <c r="H12" s="31">
        <v>74.161766052246094</v>
      </c>
      <c r="I12" s="31">
        <v>65.728912353515625</v>
      </c>
      <c r="J12" s="31">
        <v>62.827587127685547</v>
      </c>
      <c r="K12" s="31">
        <v>67.451919555664063</v>
      </c>
      <c r="L12" s="31">
        <v>69.252525329589844</v>
      </c>
      <c r="M12" s="31">
        <v>68.089553833007813</v>
      </c>
      <c r="N12" s="31">
        <v>65.821945190429688</v>
      </c>
      <c r="O12" s="29">
        <f t="shared" si="0"/>
        <v>-4.7479862182128081E-2</v>
      </c>
      <c r="P12" s="29">
        <f t="shared" si="1"/>
        <v>4.7659924559233145E-2</v>
      </c>
    </row>
    <row r="13" spans="1:17" ht="18" customHeight="1" x14ac:dyDescent="0.2">
      <c r="A13" s="195"/>
      <c r="B13" s="37" t="s">
        <v>56</v>
      </c>
      <c r="C13" s="31"/>
      <c r="D13" s="31">
        <v>3.0834558010101318</v>
      </c>
      <c r="E13" s="31">
        <v>2.9436619281768799</v>
      </c>
      <c r="F13" s="31">
        <v>2.824324369430542</v>
      </c>
      <c r="G13" s="31">
        <v>3.0361485481262207</v>
      </c>
      <c r="H13" s="31">
        <v>3.125</v>
      </c>
      <c r="I13" s="31">
        <v>3.0963854789733887</v>
      </c>
      <c r="J13" s="31">
        <v>2.9285280704498291</v>
      </c>
      <c r="K13" s="31">
        <v>2.7173430919647217</v>
      </c>
      <c r="L13" s="31">
        <v>2.9212689399719238</v>
      </c>
      <c r="M13" s="31">
        <v>2.8824501037597656</v>
      </c>
      <c r="N13" s="31">
        <v>2.7040433883666992</v>
      </c>
      <c r="O13" s="29">
        <f t="shared" si="0"/>
        <v>-0.12304778700545606</v>
      </c>
      <c r="P13" s="29">
        <f t="shared" si="1"/>
        <v>-7.6654440962434928E-2</v>
      </c>
    </row>
    <row r="14" spans="1:17" ht="18" customHeight="1" x14ac:dyDescent="0.2">
      <c r="A14" s="195"/>
      <c r="B14" s="37" t="s">
        <v>57</v>
      </c>
      <c r="C14" s="31"/>
      <c r="D14" s="31">
        <v>51.089408874511719</v>
      </c>
      <c r="E14" s="31">
        <v>48.002788543701172</v>
      </c>
      <c r="F14" s="31">
        <v>49.074798583984375</v>
      </c>
      <c r="G14" s="31">
        <v>50.050048828125</v>
      </c>
      <c r="H14" s="31">
        <v>53.904975891113281</v>
      </c>
      <c r="I14" s="31">
        <v>49.440284729003906</v>
      </c>
      <c r="J14" s="31">
        <v>47.959182739257813</v>
      </c>
      <c r="K14" s="31">
        <v>49.265804290771484</v>
      </c>
      <c r="L14" s="31">
        <v>50.044418334960938</v>
      </c>
      <c r="M14" s="31">
        <v>49.167736053466797</v>
      </c>
      <c r="N14" s="31">
        <v>48.251678466796875</v>
      </c>
      <c r="O14" s="29">
        <f t="shared" si="0"/>
        <v>-5.5544396974429956E-2</v>
      </c>
      <c r="P14" s="29">
        <f t="shared" si="1"/>
        <v>6.0988472036583542E-3</v>
      </c>
    </row>
    <row r="15" spans="1:17" ht="18" customHeight="1" x14ac:dyDescent="0.2">
      <c r="A15" s="195"/>
      <c r="B15" s="37" t="s">
        <v>58</v>
      </c>
      <c r="C15" s="33"/>
      <c r="D15" s="33">
        <v>12.985374450683594</v>
      </c>
      <c r="E15" s="33">
        <v>13.935564041137695</v>
      </c>
      <c r="F15" s="33">
        <v>11.743474960327148</v>
      </c>
      <c r="G15" s="33">
        <v>10.013707160949707</v>
      </c>
      <c r="H15" s="33">
        <v>12.47102165222168</v>
      </c>
      <c r="I15" s="33">
        <v>13.16571044921875</v>
      </c>
      <c r="J15" s="33">
        <v>12.111113548278809</v>
      </c>
      <c r="K15" s="33">
        <v>10.671647071838379</v>
      </c>
      <c r="L15" s="33">
        <v>11.804888725280762</v>
      </c>
      <c r="M15" s="33">
        <v>10.408326148986816</v>
      </c>
      <c r="N15" s="33">
        <v>9.6523714065551758</v>
      </c>
      <c r="O15" s="29">
        <f t="shared" si="0"/>
        <v>-0.25667361821460277</v>
      </c>
      <c r="P15" s="29">
        <f t="shared" si="1"/>
        <v>-0.20301536534376405</v>
      </c>
    </row>
    <row r="16" spans="1:17" ht="18" customHeight="1" x14ac:dyDescent="0.2">
      <c r="A16" s="195"/>
      <c r="B16" s="37" t="s">
        <v>63</v>
      </c>
      <c r="C16" s="33"/>
      <c r="D16" s="33">
        <f ca="1">39.9890390625*OFFSET(D$112,MATCH($N$1,$C$112:$C$113,0)-1,0)</f>
        <v>39.989039062499998</v>
      </c>
      <c r="E16" s="33">
        <f ca="1">45.00608984375*OFFSET(E$112,MATCH($N$1,$C$112:$C$113,0)-1,0)</f>
        <v>45.006089843749997</v>
      </c>
      <c r="F16" s="33">
        <f ca="1">39.10495703125*OFFSET(F$112,MATCH($N$1,$C$112:$C$113,0)-1,0)</f>
        <v>39.104957031250002</v>
      </c>
      <c r="G16" s="33">
        <f ca="1">35.3399296875*OFFSET(G$112,MATCH($N$1,$C$112:$C$113,0)-1,0)</f>
        <v>35.339929687500003</v>
      </c>
      <c r="H16" s="33">
        <f ca="1">42.938796875*OFFSET(H$112,MATCH($N$1,$C$112:$C$113,0)-1,0)</f>
        <v>42.938796875000001</v>
      </c>
      <c r="I16" s="33">
        <f ca="1">44.13569921875*OFFSET(I$112,MATCH($N$1,$C$112:$C$113,0)-1,0)</f>
        <v>44.135699218749998</v>
      </c>
      <c r="J16" s="33">
        <f ca="1">42.1833359375*OFFSET(J$112,MATCH($N$1,$C$112:$C$113,0)-1,0)</f>
        <v>42.183335937499997</v>
      </c>
      <c r="K16" s="33">
        <f ca="1">43.93755859375*OFFSET(K$112,MATCH($N$1,$C$112:$C$113,0)-1,0)</f>
        <v>43.937558593749998</v>
      </c>
      <c r="L16" s="33">
        <f ca="1">50.21434375*OFFSET(L$112,MATCH($N$1,$C$112:$C$113,0)-1,0)</f>
        <v>50.214343749999998</v>
      </c>
      <c r="M16" s="33">
        <f ca="1">36.43189453125*OFFSET(M$112,MATCH($N$1,$C$112:$C$113,0)-1,0)</f>
        <v>36.431894531250002</v>
      </c>
      <c r="N16" s="33">
        <v>38.320300781249998</v>
      </c>
      <c r="O16" s="29">
        <f t="shared" ca="1" si="0"/>
        <v>-4.1729891999702277E-2</v>
      </c>
      <c r="P16" s="29">
        <f t="shared" ca="1" si="1"/>
        <v>-9.157727975742791E-2</v>
      </c>
    </row>
    <row r="17" spans="1:16" ht="18" customHeight="1" x14ac:dyDescent="0.2">
      <c r="A17" s="195"/>
      <c r="B17" s="37" t="s">
        <v>60</v>
      </c>
      <c r="C17" s="31"/>
      <c r="D17" s="31">
        <v>82.5</v>
      </c>
      <c r="E17" s="31">
        <v>83.838027954101563</v>
      </c>
      <c r="F17" s="31">
        <v>72.885902404785156</v>
      </c>
      <c r="G17" s="31">
        <v>76.946311950683594</v>
      </c>
      <c r="H17" s="31">
        <v>82.496353149414063</v>
      </c>
      <c r="I17" s="31">
        <v>71.706588745117188</v>
      </c>
      <c r="J17" s="31">
        <v>59.844825744628906</v>
      </c>
      <c r="K17" s="31">
        <v>58.932693481445313</v>
      </c>
      <c r="L17" s="31">
        <v>61.570705413818359</v>
      </c>
      <c r="M17" s="31">
        <v>51.646766662597656</v>
      </c>
      <c r="N17" s="31">
        <v>54.891773223876953</v>
      </c>
      <c r="O17" s="29">
        <f t="shared" si="0"/>
        <v>-0.33464517304391572</v>
      </c>
      <c r="P17" s="29">
        <f t="shared" si="1"/>
        <v>-8.2764925106269385E-2</v>
      </c>
    </row>
    <row r="18" spans="1:16" ht="18" customHeight="1" x14ac:dyDescent="0.2">
      <c r="A18" s="195"/>
      <c r="B18" s="37" t="s">
        <v>64</v>
      </c>
      <c r="C18" s="31"/>
      <c r="D18" s="31">
        <v>21.441177368164063</v>
      </c>
      <c r="E18" s="31">
        <v>21.654930114746094</v>
      </c>
      <c r="F18" s="31">
        <v>20.859060287475586</v>
      </c>
      <c r="G18" s="31">
        <v>22.770269393920898</v>
      </c>
      <c r="H18" s="31">
        <v>20.411764144897461</v>
      </c>
      <c r="I18" s="31">
        <v>22.825302124023438</v>
      </c>
      <c r="J18" s="31">
        <v>23.538793563842773</v>
      </c>
      <c r="K18" s="31">
        <v>22.25</v>
      </c>
      <c r="L18" s="31">
        <v>24.528497695922852</v>
      </c>
      <c r="M18" s="31">
        <v>24.564102172851563</v>
      </c>
      <c r="N18" s="31">
        <v>26.018518447875977</v>
      </c>
      <c r="O18" s="29">
        <f t="shared" si="0"/>
        <v>0.21348366281920539</v>
      </c>
      <c r="P18" s="29">
        <f t="shared" si="1"/>
        <v>0.1053463032125076</v>
      </c>
    </row>
    <row r="19" spans="1:16" ht="18" customHeight="1" x14ac:dyDescent="0.2">
      <c r="A19" s="195"/>
      <c r="B19" s="37" t="s">
        <v>65</v>
      </c>
      <c r="C19" s="38"/>
      <c r="D19" s="38">
        <v>0.15739847719669342</v>
      </c>
      <c r="E19" s="38">
        <v>0.16622008383274078</v>
      </c>
      <c r="F19" s="38">
        <v>0.16112135350704193</v>
      </c>
      <c r="G19" s="38">
        <v>0.13013888895511627</v>
      </c>
      <c r="H19" s="38">
        <v>0.15117058157920837</v>
      </c>
      <c r="I19" s="38">
        <v>0.18360531330108643</v>
      </c>
      <c r="J19" s="38">
        <v>0.20237527787685394</v>
      </c>
      <c r="K19" s="38">
        <v>0.18108195066452026</v>
      </c>
      <c r="L19" s="38">
        <v>0.19172897934913635</v>
      </c>
      <c r="M19" s="38">
        <v>0.20152910053730011</v>
      </c>
      <c r="N19" s="38">
        <v>0.17584368586540222</v>
      </c>
      <c r="O19" s="29">
        <f t="shared" si="0"/>
        <v>0.11718797409747934</v>
      </c>
      <c r="P19" s="29">
        <f t="shared" si="1"/>
        <v>-0.13110095407797925</v>
      </c>
    </row>
    <row r="20" spans="1:16" ht="18" customHeight="1" x14ac:dyDescent="0.2">
      <c r="A20" s="196"/>
      <c r="B20" s="39" t="s">
        <v>28</v>
      </c>
      <c r="C20" s="40"/>
      <c r="D20" s="40">
        <f ca="1">3080*OFFSET(D$112,MATCH($N$1,$C$112:$C$113,0)-1,0)</f>
        <v>3080</v>
      </c>
      <c r="E20" s="40">
        <f ca="1">3230*OFFSET(E$112,MATCH($N$1,$C$112:$C$113,0)-1,0)</f>
        <v>3230</v>
      </c>
      <c r="F20" s="40">
        <f ca="1">3330*OFFSET(F$112,MATCH($N$1,$C$112:$C$113,0)-1,0)</f>
        <v>3330</v>
      </c>
      <c r="G20" s="40">
        <f ca="1">3529*OFFSET(G$112,MATCH($N$1,$C$112:$C$113,0)-1,0)</f>
        <v>3529</v>
      </c>
      <c r="H20" s="40">
        <f ca="1">3443*OFFSET(H$112,MATCH($N$1,$C$112:$C$113,0)-1,0)</f>
        <v>3443</v>
      </c>
      <c r="I20" s="40">
        <f ca="1">3352*OFFSET(I$112,MATCH($N$1,$C$112:$C$113,0)-1,0)</f>
        <v>3352</v>
      </c>
      <c r="J20" s="40">
        <f ca="1">3483*OFFSET(J$112,MATCH($N$1,$C$112:$C$113,0)-1,0)</f>
        <v>3483</v>
      </c>
      <c r="K20" s="40">
        <f ca="1">4117*OFFSET(K$112,MATCH($N$1,$C$112:$C$113,0)-1,0)</f>
        <v>4117</v>
      </c>
      <c r="L20" s="40">
        <f ca="1">4254*OFFSET(L$112,MATCH($N$1,$C$112:$C$113,0)-1,0)</f>
        <v>4254</v>
      </c>
      <c r="M20" s="40">
        <f ca="1">3500*OFFSET(M$112,MATCH($N$1,$C$112:$C$113,0)-1,0)</f>
        <v>3500</v>
      </c>
      <c r="N20" s="40">
        <v>3970</v>
      </c>
      <c r="O20" s="34">
        <f t="shared" ca="1" si="0"/>
        <v>0.28896103896103897</v>
      </c>
      <c r="P20" s="34">
        <f t="shared" ca="1" si="1"/>
        <v>0.13982199253517083</v>
      </c>
    </row>
    <row r="21" spans="1:16" ht="18" customHeight="1" x14ac:dyDescent="0.2">
      <c r="A21" s="197" t="s">
        <v>29</v>
      </c>
      <c r="B21" s="35" t="s">
        <v>66</v>
      </c>
      <c r="C21" s="41"/>
      <c r="D21" s="41">
        <v>2.3669165279351998</v>
      </c>
      <c r="E21" s="41">
        <v>2.7087423323182365</v>
      </c>
      <c r="F21" s="41">
        <v>2.5935504710701149</v>
      </c>
      <c r="G21" s="41">
        <v>2.0713362400375117</v>
      </c>
      <c r="H21" s="41">
        <v>2.0257278588801708</v>
      </c>
      <c r="I21" s="41">
        <v>2.6047533309813629</v>
      </c>
      <c r="J21" s="41">
        <v>3.3041095553220368</v>
      </c>
      <c r="K21" s="41">
        <v>2.7342030071652386</v>
      </c>
      <c r="L21" s="41">
        <v>2.9659358225384587</v>
      </c>
      <c r="M21" s="41">
        <v>3.101523113156313</v>
      </c>
      <c r="N21" s="41">
        <v>2.8369398766685254</v>
      </c>
      <c r="O21" s="29">
        <f t="shared" si="0"/>
        <v>0.1985804497902402</v>
      </c>
      <c r="P21" s="29">
        <f t="shared" si="1"/>
        <v>-0.14139049290936068</v>
      </c>
    </row>
    <row r="22" spans="1:16" ht="18" customHeight="1" x14ac:dyDescent="0.2">
      <c r="A22" s="197"/>
      <c r="B22" s="37" t="s">
        <v>67</v>
      </c>
      <c r="C22" s="38"/>
      <c r="D22" s="38">
        <f ca="1">7.28902488355234*OFFSET(D$112,MATCH($N$1,$C$112:$C$113,0)-1,0)</f>
        <v>7.2890248835523401</v>
      </c>
      <c r="E22" s="38">
        <f ca="1">8.748113848281*OFFSET(E$112,MATCH($N$1,$C$112:$C$113,0)-1,0)</f>
        <v>8.7481138482809992</v>
      </c>
      <c r="F22" s="38">
        <f ca="1">8.6363431669249*OFFSET(F$112,MATCH($N$1,$C$112:$C$113,0)-1,0)</f>
        <v>8.6363431669249007</v>
      </c>
      <c r="G22" s="38">
        <f ca="1">7.31006768078425*OFFSET(G$112,MATCH($N$1,$C$112:$C$113,0)-1,0)</f>
        <v>7.3100676807842504</v>
      </c>
      <c r="H22" s="38">
        <f ca="1">6.97475471394027*OFFSET(H$112,MATCH($N$1,$C$112:$C$113,0)-1,0)</f>
        <v>6.9747547139402704</v>
      </c>
      <c r="I22" s="38">
        <f ca="1">8.7319715862392*OFFSET(I$112,MATCH($N$1,$C$112:$C$113,0)-1,0)</f>
        <v>8.7319715862391991</v>
      </c>
      <c r="J22" s="38">
        <f ca="1">11.5083029145789*OFFSET(J$112,MATCH($N$1,$C$112:$C$113,0)-1,0)</f>
        <v>11.5083029145789</v>
      </c>
      <c r="K22" s="38">
        <f ca="1">11.2573255117811*OFFSET(K$112,MATCH($N$1,$C$112:$C$113,0)-1,0)</f>
        <v>11.257325511781101</v>
      </c>
      <c r="L22" s="38">
        <f ca="1">12.6161732142751*OFFSET(L$112,MATCH($N$1,$C$112:$C$113,0)-1,0)</f>
        <v>12.616173214275101</v>
      </c>
      <c r="M22" s="38">
        <f ca="1">10.8561512511543*OFFSET(M$112,MATCH($N$1,$C$112:$C$113,0)-1,0)</f>
        <v>10.8561512511543</v>
      </c>
      <c r="N22" s="38">
        <v>11.262764847447826</v>
      </c>
      <c r="O22" s="29">
        <f t="shared" ca="1" si="0"/>
        <v>0.54516756731921945</v>
      </c>
      <c r="P22" s="29">
        <f t="shared" ca="1" si="1"/>
        <v>-2.1335732032220174E-2</v>
      </c>
    </row>
    <row r="23" spans="1:16" ht="18" customHeight="1" x14ac:dyDescent="0.2">
      <c r="A23" s="197"/>
      <c r="B23" s="37" t="s">
        <v>11</v>
      </c>
      <c r="C23" s="38"/>
      <c r="D23" s="38">
        <f ca="1">6.90376718790538*OFFSET(D$112,MATCH($N$1,$C$112:$C$113,0)-1,0)</f>
        <v>6.9037671879053804</v>
      </c>
      <c r="E23" s="38">
        <f ca="1">7.31904814399178*OFFSET(E$112,MATCH($N$1,$C$112:$C$113,0)-1,0)</f>
        <v>7.3190481439917798</v>
      </c>
      <c r="F23" s="38">
        <f ca="1">7.08757071955802*OFFSET(F$112,MATCH($N$1,$C$112:$C$113,0)-1,0)</f>
        <v>7.0875707195580198</v>
      </c>
      <c r="G23" s="38">
        <f ca="1">5.41712025383577*OFFSET(G$112,MATCH($N$1,$C$112:$C$113,0)-1,0)</f>
        <v>5.4171202538357699</v>
      </c>
      <c r="H23" s="38">
        <f ca="1">4.73422119058678*OFFSET(H$112,MATCH($N$1,$C$112:$C$113,0)-1,0)</f>
        <v>4.7342211905867799</v>
      </c>
      <c r="I23" s="38">
        <f ca="1">5.56235775151368*OFFSET(I$112,MATCH($N$1,$C$112:$C$113,0)-1,0)</f>
        <v>5.5623577515136802</v>
      </c>
      <c r="J23" s="38">
        <f ca="1">8.44504269548928*OFFSET(J$112,MATCH($N$1,$C$112:$C$113,0)-1,0)</f>
        <v>8.4450426954892794</v>
      </c>
      <c r="K23" s="38">
        <f ca="1">8.16033332443014*OFFSET(K$112,MATCH($N$1,$C$112:$C$113,0)-1,0)</f>
        <v>8.1603333244301393</v>
      </c>
      <c r="L23" s="38">
        <f ca="1">8.59422965344251*OFFSET(L$112,MATCH($N$1,$C$112:$C$113,0)-1,0)</f>
        <v>8.5942296534425093</v>
      </c>
      <c r="M23" s="38">
        <f ca="1">8.77674542821385*OFFSET(M$112,MATCH($N$1,$C$112:$C$113,0)-1,0)</f>
        <v>8.7767454282138502</v>
      </c>
      <c r="N23" s="38">
        <v>8.2128245589197562</v>
      </c>
      <c r="O23" s="29">
        <f t="shared" ca="1" si="0"/>
        <v>0.1896149356408913</v>
      </c>
      <c r="P23" s="29">
        <f t="shared" ca="1" si="1"/>
        <v>-2.7497568093238549E-2</v>
      </c>
    </row>
    <row r="24" spans="1:16" ht="18" customHeight="1" x14ac:dyDescent="0.2">
      <c r="A24" s="197"/>
      <c r="B24" s="37" t="s">
        <v>12</v>
      </c>
      <c r="C24" s="38"/>
      <c r="D24" s="38">
        <f ca="1">0.501452730951736*OFFSET(D$112,MATCH($N$1,$C$112:$C$113,0)-1,0)</f>
        <v>0.50145273095173604</v>
      </c>
      <c r="E24" s="38">
        <f ca="1">1.6229410641415*OFFSET(E$112,MATCH($N$1,$C$112:$C$113,0)-1,0)</f>
        <v>1.6229410641415001</v>
      </c>
      <c r="F24" s="38">
        <f ca="1">2.83433442090625*OFFSET(F$112,MATCH($N$1,$C$112:$C$113,0)-1,0)</f>
        <v>2.83433442090625</v>
      </c>
      <c r="G24" s="38">
        <f ca="1">2.14498595580801*OFFSET(G$112,MATCH($N$1,$C$112:$C$113,0)-1,0)</f>
        <v>2.1449859558080102</v>
      </c>
      <c r="H24" s="38">
        <f ca="1">2.31387986297102*OFFSET(H$112,MATCH($N$1,$C$112:$C$113,0)-1,0)</f>
        <v>2.31387986297102</v>
      </c>
      <c r="I24" s="38">
        <f ca="1">3.23013476945215*OFFSET(I$112,MATCH($N$1,$C$112:$C$113,0)-1,0)</f>
        <v>3.2301347694521501</v>
      </c>
      <c r="J24" s="38">
        <f ca="1">3.74816548335248*OFFSET(J$112,MATCH($N$1,$C$112:$C$113,0)-1,0)</f>
        <v>3.74816548335248</v>
      </c>
      <c r="K24" s="38">
        <f ca="1">3.30092582196263*OFFSET(K$112,MATCH($N$1,$C$112:$C$113,0)-1,0)</f>
        <v>3.3009258219626298</v>
      </c>
      <c r="L24" s="38">
        <f ca="1">4.21399740570915*OFFSET(L$112,MATCH($N$1,$C$112:$C$113,0)-1,0)</f>
        <v>4.2139974057091498</v>
      </c>
      <c r="M24" s="38">
        <f ca="1">3.85141644999839*OFFSET(M$112,MATCH($N$1,$C$112:$C$113,0)-1,0)</f>
        <v>3.8514164499983901</v>
      </c>
      <c r="N24" s="38">
        <v>3.9528272554974344</v>
      </c>
      <c r="O24" s="29">
        <f t="shared" ca="1" si="0"/>
        <v>6.882751476884243</v>
      </c>
      <c r="P24" s="29">
        <f t="shared" ca="1" si="1"/>
        <v>5.4603184692341364E-2</v>
      </c>
    </row>
    <row r="25" spans="1:16" ht="18" customHeight="1" x14ac:dyDescent="0.2">
      <c r="A25" s="197"/>
      <c r="B25" s="37" t="s">
        <v>68</v>
      </c>
      <c r="C25" s="33"/>
      <c r="D25" s="33">
        <f ca="1">42.44*OFFSET(D$112,MATCH($N$1,$C$112:$C$113,0)-1,0)</f>
        <v>42.44</v>
      </c>
      <c r="E25" s="33">
        <f ca="1">54.08*OFFSET(E$112,MATCH($N$1,$C$112:$C$113,0)-1,0)</f>
        <v>54.08</v>
      </c>
      <c r="F25" s="33">
        <f ca="1">60.9*OFFSET(F$112,MATCH($N$1,$C$112:$C$113,0)-1,0)</f>
        <v>60.9</v>
      </c>
      <c r="G25" s="33">
        <f ca="1">39.3*OFFSET(G$112,MATCH($N$1,$C$112:$C$113,0)-1,0)</f>
        <v>39.299999999999997</v>
      </c>
      <c r="H25" s="33">
        <f ca="1">32.34*OFFSET(H$112,MATCH($N$1,$C$112:$C$113,0)-1,0)</f>
        <v>32.340000000000003</v>
      </c>
      <c r="I25" s="33">
        <f ca="1">85.8*OFFSET(I$112,MATCH($N$1,$C$112:$C$113,0)-1,0)</f>
        <v>85.8</v>
      </c>
      <c r="J25" s="33">
        <f ca="1">75.36*OFFSET(J$112,MATCH($N$1,$C$112:$C$113,0)-1,0)</f>
        <v>75.36</v>
      </c>
      <c r="K25" s="33">
        <f ca="1">83.73*OFFSET(K$112,MATCH($N$1,$C$112:$C$113,0)-1,0)</f>
        <v>83.73</v>
      </c>
      <c r="L25" s="33">
        <f ca="1">102.46*OFFSET(L$112,MATCH($N$1,$C$112:$C$113,0)-1,0)</f>
        <v>102.46</v>
      </c>
      <c r="M25" s="33">
        <f ca="1">85.37*OFFSET(M$112,MATCH($N$1,$C$112:$C$113,0)-1,0)</f>
        <v>85.37</v>
      </c>
      <c r="N25" s="33">
        <v>85.5</v>
      </c>
      <c r="O25" s="29">
        <f t="shared" ca="1" si="0"/>
        <v>1.0146088595664469</v>
      </c>
      <c r="P25" s="29">
        <f t="shared" ca="1" si="1"/>
        <v>0.13455414012738853</v>
      </c>
    </row>
    <row r="26" spans="1:16" ht="18" customHeight="1" x14ac:dyDescent="0.2">
      <c r="A26" s="198"/>
      <c r="B26" s="37" t="s">
        <v>69</v>
      </c>
      <c r="C26" s="33"/>
      <c r="D26" s="33">
        <f ca="1">2.97*OFFSET(D$112,MATCH($N$1,$C$112:$C$113,0)-1,0)</f>
        <v>2.97</v>
      </c>
      <c r="E26" s="33">
        <f ca="1">9.97*OFFSET(E$112,MATCH($N$1,$C$112:$C$113,0)-1,0)</f>
        <v>9.9700000000000006</v>
      </c>
      <c r="F26" s="33">
        <f ca="1">19.94*OFFSET(F$112,MATCH($N$1,$C$112:$C$113,0)-1,0)</f>
        <v>19.940000000000001</v>
      </c>
      <c r="G26" s="33">
        <f ca="1">11.58*OFFSET(G$112,MATCH($N$1,$C$112:$C$113,0)-1,0)</f>
        <v>11.58</v>
      </c>
      <c r="H26" s="33">
        <f ca="1">10.71*OFFSET(H$112,MATCH($N$1,$C$112:$C$113,0)-1,0)</f>
        <v>10.71</v>
      </c>
      <c r="I26" s="33">
        <f ca="1">31.71*OFFSET(I$112,MATCH($N$1,$C$112:$C$113,0)-1,0)</f>
        <v>31.71</v>
      </c>
      <c r="J26" s="33">
        <f ca="1">24.46*OFFSET(J$112,MATCH($N$1,$C$112:$C$113,0)-1,0)</f>
        <v>24.46</v>
      </c>
      <c r="K26" s="33">
        <f ca="1">24.6*OFFSET(K$112,MATCH($N$1,$C$112:$C$113,0)-1,0)</f>
        <v>24.6</v>
      </c>
      <c r="L26" s="33">
        <f ca="1">34.29*OFFSET(L$112,MATCH($N$1,$C$112:$C$113,0)-1,0)</f>
        <v>34.29</v>
      </c>
      <c r="M26" s="33">
        <f ca="1">30.26*OFFSET(M$112,MATCH($N$1,$C$112:$C$113,0)-1,0)</f>
        <v>30.26</v>
      </c>
      <c r="N26" s="33">
        <v>29.91</v>
      </c>
      <c r="O26" s="34">
        <f t="shared" ca="1" si="0"/>
        <v>9.0707070707070709</v>
      </c>
      <c r="P26" s="34">
        <f t="shared" ca="1" si="1"/>
        <v>0.22281275551921501</v>
      </c>
    </row>
    <row r="27" spans="1:16" ht="18" customHeight="1" x14ac:dyDescent="0.2">
      <c r="A27" s="187" t="s">
        <v>30</v>
      </c>
      <c r="B27" s="35" t="s">
        <v>63</v>
      </c>
      <c r="C27" s="36"/>
      <c r="D27" s="36">
        <f ca="1">40*OFFSET(D$112,MATCH($N$1,$C$112:$C$113,0)-1,0)</f>
        <v>40</v>
      </c>
      <c r="E27" s="36">
        <f ca="1">45*OFFSET(E$112,MATCH($N$1,$C$112:$C$113,0)-1,0)</f>
        <v>45</v>
      </c>
      <c r="F27" s="36">
        <f ca="1">39.1*OFFSET(F$112,MATCH($N$1,$C$112:$C$113,0)-1,0)</f>
        <v>39.1</v>
      </c>
      <c r="G27" s="36">
        <f ca="1">35.3*OFFSET(G$112,MATCH($N$1,$C$112:$C$113,0)-1,0)</f>
        <v>35.299999999999997</v>
      </c>
      <c r="H27" s="36">
        <f ca="1">42.9*OFFSET(H$112,MATCH($N$1,$C$112:$C$113,0)-1,0)</f>
        <v>42.9</v>
      </c>
      <c r="I27" s="36">
        <f ca="1">44.1*OFFSET(I$112,MATCH($N$1,$C$112:$C$113,0)-1,0)</f>
        <v>44.1</v>
      </c>
      <c r="J27" s="36">
        <f ca="1">42.2*OFFSET(J$112,MATCH($N$1,$C$112:$C$113,0)-1,0)</f>
        <v>42.2</v>
      </c>
      <c r="K27" s="36">
        <f ca="1">43.9*OFFSET(K$112,MATCH($N$1,$C$112:$C$113,0)-1,0)</f>
        <v>43.9</v>
      </c>
      <c r="L27" s="36">
        <f ca="1">50.2*OFFSET(L$112,MATCH($N$1,$C$112:$C$113,0)-1,0)</f>
        <v>50.2</v>
      </c>
      <c r="M27" s="36">
        <f ca="1">36.4*OFFSET(M$112,MATCH($N$1,$C$112:$C$113,0)-1,0)</f>
        <v>36.4</v>
      </c>
      <c r="N27" s="36">
        <v>38.300000000000004</v>
      </c>
      <c r="O27" s="29">
        <f t="shared" ca="1" si="0"/>
        <v>-4.2499999999999892E-2</v>
      </c>
      <c r="P27" s="29">
        <f t="shared" ca="1" si="1"/>
        <v>-9.2417061611374363E-2</v>
      </c>
    </row>
    <row r="28" spans="1:16" ht="18" customHeight="1" x14ac:dyDescent="0.2">
      <c r="A28" s="199"/>
      <c r="B28" s="37" t="s">
        <v>70</v>
      </c>
      <c r="C28" s="33"/>
      <c r="D28" s="33">
        <f ca="1">0.6*OFFSET(D$112,MATCH($N$1,$C$112:$C$113,0)-1,0)</f>
        <v>0.6</v>
      </c>
      <c r="E28" s="33">
        <f ca="1">1*OFFSET(E$112,MATCH($N$1,$C$112:$C$113,0)-1,0)</f>
        <v>1</v>
      </c>
      <c r="F28" s="33">
        <f ca="1">5.8*OFFSET(F$112,MATCH($N$1,$C$112:$C$113,0)-1,0)</f>
        <v>5.8</v>
      </c>
      <c r="G28" s="33">
        <f ca="1">1.2*OFFSET(G$112,MATCH($N$1,$C$112:$C$113,0)-1,0)</f>
        <v>1.2</v>
      </c>
      <c r="H28" s="33">
        <f ca="1">0.5*OFFSET(H$112,MATCH($N$1,$C$112:$C$113,0)-1,0)</f>
        <v>0.5</v>
      </c>
      <c r="I28" s="33">
        <f ca="1">0.3*OFFSET(I$112,MATCH($N$1,$C$112:$C$113,0)-1,0)</f>
        <v>0.3</v>
      </c>
      <c r="J28" s="33">
        <f ca="1">2.5*OFFSET(J$112,MATCH($N$1,$C$112:$C$113,0)-1,0)</f>
        <v>2.5</v>
      </c>
      <c r="K28" s="33">
        <f ca="1">0.8*OFFSET(K$112,MATCH($N$1,$C$112:$C$113,0)-1,0)</f>
        <v>0.8</v>
      </c>
      <c r="L28" s="33">
        <f ca="1">0.8*OFFSET(L$112,MATCH($N$1,$C$112:$C$113,0)-1,0)</f>
        <v>0.8</v>
      </c>
      <c r="M28" s="33">
        <f ca="1">5.9*OFFSET(M$112,MATCH($N$1,$C$112:$C$113,0)-1,0)</f>
        <v>5.9</v>
      </c>
      <c r="N28" s="33">
        <v>3.1</v>
      </c>
      <c r="O28" s="29">
        <f t="shared" ca="1" si="0"/>
        <v>4.166666666666667</v>
      </c>
      <c r="P28" s="29">
        <f t="shared" ca="1" si="1"/>
        <v>0.24000000000000005</v>
      </c>
    </row>
    <row r="29" spans="1:16" ht="18" customHeight="1" x14ac:dyDescent="0.2">
      <c r="A29" s="199"/>
      <c r="B29" s="42" t="s">
        <v>71</v>
      </c>
      <c r="C29" s="43"/>
      <c r="D29" s="43">
        <f ca="1">40.6*OFFSET(D$112,MATCH($N$1,$C$112:$C$113,0)-1,0)</f>
        <v>40.6</v>
      </c>
      <c r="E29" s="43">
        <f ca="1">46*OFFSET(E$112,MATCH($N$1,$C$112:$C$113,0)-1,0)</f>
        <v>46</v>
      </c>
      <c r="F29" s="43">
        <f ca="1">44.9*OFFSET(F$112,MATCH($N$1,$C$112:$C$113,0)-1,0)</f>
        <v>44.9</v>
      </c>
      <c r="G29" s="43">
        <f ca="1">36.6*OFFSET(G$112,MATCH($N$1,$C$112:$C$113,0)-1,0)</f>
        <v>36.6</v>
      </c>
      <c r="H29" s="43">
        <f ca="1">43.4*OFFSET(H$112,MATCH($N$1,$C$112:$C$113,0)-1,0)</f>
        <v>43.4</v>
      </c>
      <c r="I29" s="43">
        <f ca="1">44.4*OFFSET(I$112,MATCH($N$1,$C$112:$C$113,0)-1,0)</f>
        <v>44.4</v>
      </c>
      <c r="J29" s="43">
        <f ca="1">44.7*OFFSET(J$112,MATCH($N$1,$C$112:$C$113,0)-1,0)</f>
        <v>44.7</v>
      </c>
      <c r="K29" s="43">
        <f ca="1">44.7*OFFSET(K$112,MATCH($N$1,$C$112:$C$113,0)-1,0)</f>
        <v>44.7</v>
      </c>
      <c r="L29" s="43">
        <f ca="1">51*OFFSET(L$112,MATCH($N$1,$C$112:$C$113,0)-1,0)</f>
        <v>51</v>
      </c>
      <c r="M29" s="43">
        <f ca="1">42.4*OFFSET(M$112,MATCH($N$1,$C$112:$C$113,0)-1,0)</f>
        <v>42.4</v>
      </c>
      <c r="N29" s="43">
        <v>41.4</v>
      </c>
      <c r="O29" s="29">
        <f t="shared" ca="1" si="0"/>
        <v>1.9704433497536877E-2</v>
      </c>
      <c r="P29" s="29">
        <f t="shared" ca="1" si="1"/>
        <v>-7.3825503355704786E-2</v>
      </c>
    </row>
    <row r="30" spans="1:16" ht="18" customHeight="1" x14ac:dyDescent="0.2">
      <c r="A30" s="199"/>
      <c r="B30" s="37" t="s">
        <v>72</v>
      </c>
      <c r="C30" s="33"/>
      <c r="D30" s="33">
        <f ca="1">4.6*OFFSET(D$112,MATCH($N$1,$C$112:$C$113,0)-1,0)</f>
        <v>4.5999999999999996</v>
      </c>
      <c r="E30" s="33">
        <f ca="1">4.1*OFFSET(E$112,MATCH($N$1,$C$112:$C$113,0)-1,0)</f>
        <v>4.0999999999999996</v>
      </c>
      <c r="F30" s="33">
        <f ca="1">3.5*OFFSET(F$112,MATCH($N$1,$C$112:$C$113,0)-1,0)</f>
        <v>3.5</v>
      </c>
      <c r="G30" s="33">
        <f ca="1">3.6*OFFSET(G$112,MATCH($N$1,$C$112:$C$113,0)-1,0)</f>
        <v>3.6</v>
      </c>
      <c r="H30" s="33">
        <f ca="1">3.1*OFFSET(H$112,MATCH($N$1,$C$112:$C$113,0)-1,0)</f>
        <v>3.1</v>
      </c>
      <c r="I30" s="33">
        <f ca="1">2.4*OFFSET(I$112,MATCH($N$1,$C$112:$C$113,0)-1,0)</f>
        <v>2.4</v>
      </c>
      <c r="J30" s="33">
        <f ca="1">2*OFFSET(J$112,MATCH($N$1,$C$112:$C$113,0)-1,0)</f>
        <v>2</v>
      </c>
      <c r="K30" s="33">
        <f ca="1">2.6*OFFSET(K$112,MATCH($N$1,$C$112:$C$113,0)-1,0)</f>
        <v>2.6</v>
      </c>
      <c r="L30" s="33">
        <f ca="1">2.5*OFFSET(L$112,MATCH($N$1,$C$112:$C$113,0)-1,0)</f>
        <v>2.5</v>
      </c>
      <c r="M30" s="33">
        <f ca="1">1.5*OFFSET(M$112,MATCH($N$1,$C$112:$C$113,0)-1,0)</f>
        <v>1.5</v>
      </c>
      <c r="N30" s="33">
        <v>2</v>
      </c>
      <c r="O30" s="29">
        <f t="shared" ca="1" si="0"/>
        <v>-0.56521739130434778</v>
      </c>
      <c r="P30" s="29">
        <f t="shared" ca="1" si="1"/>
        <v>0</v>
      </c>
    </row>
    <row r="31" spans="1:16" ht="18" customHeight="1" x14ac:dyDescent="0.2">
      <c r="A31" s="199"/>
      <c r="B31" s="37" t="s">
        <v>73</v>
      </c>
      <c r="C31" s="33"/>
      <c r="D31" s="33">
        <f ca="1">11.1*OFFSET(D$112,MATCH($N$1,$C$112:$C$113,0)-1,0)</f>
        <v>11.1</v>
      </c>
      <c r="E31" s="33">
        <f ca="1">13.9*OFFSET(E$112,MATCH($N$1,$C$112:$C$113,0)-1,0)</f>
        <v>13.9</v>
      </c>
      <c r="F31" s="33">
        <f ca="1">10.3*OFFSET(F$112,MATCH($N$1,$C$112:$C$113,0)-1,0)</f>
        <v>10.3</v>
      </c>
      <c r="G31" s="33">
        <f ca="1">10.3*OFFSET(G$112,MATCH($N$1,$C$112:$C$113,0)-1,0)</f>
        <v>10.3</v>
      </c>
      <c r="H31" s="33">
        <f ca="1">8.3*OFFSET(H$112,MATCH($N$1,$C$112:$C$113,0)-1,0)</f>
        <v>8.3000000000000007</v>
      </c>
      <c r="I31" s="33">
        <f ca="1">8.7*OFFSET(I$112,MATCH($N$1,$C$112:$C$113,0)-1,0)</f>
        <v>8.6999999999999993</v>
      </c>
      <c r="J31" s="33">
        <f ca="1">8.2*OFFSET(J$112,MATCH($N$1,$C$112:$C$113,0)-1,0)</f>
        <v>8.1999999999999993</v>
      </c>
      <c r="K31" s="33">
        <f ca="1">13.7*OFFSET(K$112,MATCH($N$1,$C$112:$C$113,0)-1,0)</f>
        <v>13.7</v>
      </c>
      <c r="L31" s="33">
        <f ca="1">15.1*OFFSET(L$112,MATCH($N$1,$C$112:$C$113,0)-1,0)</f>
        <v>15.1</v>
      </c>
      <c r="M31" s="33">
        <f ca="1">8.7*OFFSET(M$112,MATCH($N$1,$C$112:$C$113,0)-1,0)</f>
        <v>8.6999999999999993</v>
      </c>
      <c r="N31" s="33">
        <v>9</v>
      </c>
      <c r="O31" s="29">
        <f t="shared" ca="1" si="0"/>
        <v>-0.18918918918918917</v>
      </c>
      <c r="P31" s="29">
        <f t="shared" ca="1" si="1"/>
        <v>9.7560975609756198E-2</v>
      </c>
    </row>
    <row r="32" spans="1:16" ht="18" customHeight="1" x14ac:dyDescent="0.2">
      <c r="A32" s="199"/>
      <c r="B32" s="37" t="s">
        <v>74</v>
      </c>
      <c r="C32" s="33"/>
      <c r="D32" s="33">
        <f ca="1">11.7*OFFSET(D$112,MATCH($N$1,$C$112:$C$113,0)-1,0)</f>
        <v>11.7</v>
      </c>
      <c r="E32" s="33">
        <f ca="1">11.7*OFFSET(E$112,MATCH($N$1,$C$112:$C$113,0)-1,0)</f>
        <v>11.7</v>
      </c>
      <c r="F32" s="33">
        <f ca="1">8.1*OFFSET(F$112,MATCH($N$1,$C$112:$C$113,0)-1,0)</f>
        <v>8.1</v>
      </c>
      <c r="G32" s="33">
        <f ca="1">4.8*OFFSET(G$112,MATCH($N$1,$C$112:$C$113,0)-1,0)</f>
        <v>4.8</v>
      </c>
      <c r="H32" s="33">
        <f ca="1">11.8*OFFSET(H$112,MATCH($N$1,$C$112:$C$113,0)-1,0)</f>
        <v>11.8</v>
      </c>
      <c r="I32" s="33">
        <f ca="1">10.7*OFFSET(I$112,MATCH($N$1,$C$112:$C$113,0)-1,0)</f>
        <v>10.7</v>
      </c>
      <c r="J32" s="33">
        <f ca="1">13.4*OFFSET(J$112,MATCH($N$1,$C$112:$C$113,0)-1,0)</f>
        <v>13.4</v>
      </c>
      <c r="K32" s="33">
        <f ca="1">6.2*OFFSET(K$112,MATCH($N$1,$C$112:$C$113,0)-1,0)</f>
        <v>6.2</v>
      </c>
      <c r="L32" s="33">
        <f ca="1">7*OFFSET(L$112,MATCH($N$1,$C$112:$C$113,0)-1,0)</f>
        <v>7</v>
      </c>
      <c r="M32" s="33">
        <f ca="1">5.8*OFFSET(M$112,MATCH($N$1,$C$112:$C$113,0)-1,0)</f>
        <v>5.8</v>
      </c>
      <c r="N32" s="33">
        <v>6.2</v>
      </c>
      <c r="O32" s="29">
        <f t="shared" ca="1" si="0"/>
        <v>-0.47008547008547003</v>
      </c>
      <c r="P32" s="29">
        <f t="shared" ca="1" si="1"/>
        <v>-0.53731343283582089</v>
      </c>
    </row>
    <row r="33" spans="1:16" ht="18" customHeight="1" x14ac:dyDescent="0.2">
      <c r="A33" s="199"/>
      <c r="B33" s="37" t="s">
        <v>75</v>
      </c>
      <c r="C33" s="33"/>
      <c r="D33" s="33">
        <f ca="1">27.3*OFFSET(D$112,MATCH($N$1,$C$112:$C$113,0)-1,0)</f>
        <v>27.3</v>
      </c>
      <c r="E33" s="33">
        <f ca="1">29.7*OFFSET(E$112,MATCH($N$1,$C$112:$C$113,0)-1,0)</f>
        <v>29.7</v>
      </c>
      <c r="F33" s="33">
        <f ca="1">21.8*OFFSET(F$112,MATCH($N$1,$C$112:$C$113,0)-1,0)</f>
        <v>21.8</v>
      </c>
      <c r="G33" s="33">
        <f ca="1">18.6*OFFSET(G$112,MATCH($N$1,$C$112:$C$113,0)-1,0)</f>
        <v>18.600000000000001</v>
      </c>
      <c r="H33" s="33">
        <f ca="1">23.2*OFFSET(H$112,MATCH($N$1,$C$112:$C$113,0)-1,0)</f>
        <v>23.2</v>
      </c>
      <c r="I33" s="33">
        <f ca="1">21.8*OFFSET(I$112,MATCH($N$1,$C$112:$C$113,0)-1,0)</f>
        <v>21.8</v>
      </c>
      <c r="J33" s="33">
        <f ca="1">23.6*OFFSET(J$112,MATCH($N$1,$C$112:$C$113,0)-1,0)</f>
        <v>23.6</v>
      </c>
      <c r="K33" s="33">
        <f ca="1">22.5*OFFSET(K$112,MATCH($N$1,$C$112:$C$113,0)-1,0)</f>
        <v>22.5</v>
      </c>
      <c r="L33" s="33">
        <f ca="1">24.6*OFFSET(L$112,MATCH($N$1,$C$112:$C$113,0)-1,0)</f>
        <v>24.6</v>
      </c>
      <c r="M33" s="33">
        <f ca="1">16*OFFSET(M$112,MATCH($N$1,$C$112:$C$113,0)-1,0)</f>
        <v>16</v>
      </c>
      <c r="N33" s="33">
        <v>17.2</v>
      </c>
      <c r="O33" s="29">
        <f t="shared" ca="1" si="0"/>
        <v>-0.36996336996336998</v>
      </c>
      <c r="P33" s="29">
        <f t="shared" ca="1" si="1"/>
        <v>-0.27118644067796616</v>
      </c>
    </row>
    <row r="34" spans="1:16" ht="18" customHeight="1" x14ac:dyDescent="0.2">
      <c r="A34" s="199"/>
      <c r="B34" s="37" t="s">
        <v>76</v>
      </c>
      <c r="C34" s="33"/>
      <c r="D34" s="33">
        <f ca="1">10.6*OFFSET(D$112,MATCH($N$1,$C$112:$C$113,0)-1,0)</f>
        <v>10.6</v>
      </c>
      <c r="E34" s="33">
        <f ca="1">7.9*OFFSET(E$112,MATCH($N$1,$C$112:$C$113,0)-1,0)</f>
        <v>7.9</v>
      </c>
      <c r="F34" s="33">
        <f ca="1">10.3*OFFSET(F$112,MATCH($N$1,$C$112:$C$113,0)-1,0)</f>
        <v>10.3</v>
      </c>
      <c r="G34" s="33">
        <f ca="1">7.6*OFFSET(G$112,MATCH($N$1,$C$112:$C$113,0)-1,0)</f>
        <v>7.6</v>
      </c>
      <c r="H34" s="33">
        <f ca="1">5.9*OFFSET(H$112,MATCH($N$1,$C$112:$C$113,0)-1,0)</f>
        <v>5.9</v>
      </c>
      <c r="I34" s="33">
        <f ca="1">6.3*OFFSET(I$112,MATCH($N$1,$C$112:$C$113,0)-1,0)</f>
        <v>6.3</v>
      </c>
      <c r="J34" s="33">
        <f ca="1">7.3*OFFSET(J$112,MATCH($N$1,$C$112:$C$113,0)-1,0)</f>
        <v>7.3</v>
      </c>
      <c r="K34" s="33">
        <f ca="1">9.3*OFFSET(K$112,MATCH($N$1,$C$112:$C$113,0)-1,0)</f>
        <v>9.3000000000000007</v>
      </c>
      <c r="L34" s="33">
        <f ca="1">9.6*OFFSET(L$112,MATCH($N$1,$C$112:$C$113,0)-1,0)</f>
        <v>9.6</v>
      </c>
      <c r="M34" s="33">
        <f ca="1">13.4*OFFSET(M$112,MATCH($N$1,$C$112:$C$113,0)-1,0)</f>
        <v>13.4</v>
      </c>
      <c r="N34" s="33">
        <v>10.700000000000001</v>
      </c>
      <c r="O34" s="29">
        <f t="shared" ca="1" si="0"/>
        <v>9.4339622641510783E-3</v>
      </c>
      <c r="P34" s="29">
        <f t="shared" ca="1" si="1"/>
        <v>0.46575342465753444</v>
      </c>
    </row>
    <row r="35" spans="1:16" ht="18" customHeight="1" x14ac:dyDescent="0.2">
      <c r="A35" s="199"/>
      <c r="B35" s="37" t="s">
        <v>77</v>
      </c>
      <c r="C35" s="33"/>
      <c r="D35" s="33">
        <f ca="1">37.9*OFFSET(D$112,MATCH($N$1,$C$112:$C$113,0)-1,0)</f>
        <v>37.9</v>
      </c>
      <c r="E35" s="33">
        <f ca="1">37.7*OFFSET(E$112,MATCH($N$1,$C$112:$C$113,0)-1,0)</f>
        <v>37.700000000000003</v>
      </c>
      <c r="F35" s="33">
        <f ca="1">32.1*OFFSET(F$112,MATCH($N$1,$C$112:$C$113,0)-1,0)</f>
        <v>32.1</v>
      </c>
      <c r="G35" s="33">
        <f ca="1">26.2*OFFSET(G$112,MATCH($N$1,$C$112:$C$113,0)-1,0)</f>
        <v>26.2</v>
      </c>
      <c r="H35" s="33">
        <f ca="1">29.1*OFFSET(H$112,MATCH($N$1,$C$112:$C$113,0)-1,0)</f>
        <v>29.1</v>
      </c>
      <c r="I35" s="33">
        <f ca="1">28.1*OFFSET(I$112,MATCH($N$1,$C$112:$C$113,0)-1,0)</f>
        <v>28.1</v>
      </c>
      <c r="J35" s="33">
        <f ca="1">31*OFFSET(J$112,MATCH($N$1,$C$112:$C$113,0)-1,0)</f>
        <v>31</v>
      </c>
      <c r="K35" s="33">
        <f ca="1">31.8*OFFSET(K$112,MATCH($N$1,$C$112:$C$113,0)-1,0)</f>
        <v>31.8</v>
      </c>
      <c r="L35" s="33">
        <f ca="1">34.2*OFFSET(L$112,MATCH($N$1,$C$112:$C$113,0)-1,0)</f>
        <v>34.200000000000003</v>
      </c>
      <c r="M35" s="33">
        <f ca="1">29.5*OFFSET(M$112,MATCH($N$1,$C$112:$C$113,0)-1,0)</f>
        <v>29.5</v>
      </c>
      <c r="N35" s="33">
        <v>27.900000000000002</v>
      </c>
      <c r="O35" s="29">
        <f t="shared" ca="1" si="0"/>
        <v>-0.26385224274406321</v>
      </c>
      <c r="P35" s="29">
        <f t="shared" ca="1" si="1"/>
        <v>-9.9999999999999936E-2</v>
      </c>
    </row>
    <row r="36" spans="1:16" ht="18" customHeight="1" x14ac:dyDescent="0.2">
      <c r="A36" s="199"/>
      <c r="B36" s="42" t="s">
        <v>78</v>
      </c>
      <c r="C36" s="43"/>
      <c r="D36" s="43">
        <f ca="1">13.9*OFFSET(D$112,MATCH($N$1,$C$112:$C$113,0)-1,0)</f>
        <v>13.9</v>
      </c>
      <c r="E36" s="43">
        <f ca="1">22.2*OFFSET(E$112,MATCH($N$1,$C$112:$C$113,0)-1,0)</f>
        <v>22.2</v>
      </c>
      <c r="F36" s="43">
        <f ca="1">23.1*OFFSET(F$112,MATCH($N$1,$C$112:$C$113,0)-1,0)</f>
        <v>23.1</v>
      </c>
      <c r="G36" s="43">
        <f ca="1">20.7*OFFSET(G$112,MATCH($N$1,$C$112:$C$113,0)-1,0)</f>
        <v>20.7</v>
      </c>
      <c r="H36" s="43">
        <f ca="1">22.5*OFFSET(H$112,MATCH($N$1,$C$112:$C$113,0)-1,0)</f>
        <v>22.5</v>
      </c>
      <c r="I36" s="43">
        <f ca="1">25*OFFSET(I$112,MATCH($N$1,$C$112:$C$113,0)-1,0)</f>
        <v>25</v>
      </c>
      <c r="J36" s="43">
        <f ca="1">21.9*OFFSET(J$112,MATCH($N$1,$C$112:$C$113,0)-1,0)</f>
        <v>21.9</v>
      </c>
      <c r="K36" s="43">
        <f ca="1">26.6*OFFSET(K$112,MATCH($N$1,$C$112:$C$113,0)-1,0)</f>
        <v>26.6</v>
      </c>
      <c r="L36" s="43">
        <f ca="1">31.9*OFFSET(L$112,MATCH($N$1,$C$112:$C$113,0)-1,0)</f>
        <v>31.9</v>
      </c>
      <c r="M36" s="43">
        <f ca="1">21.6*OFFSET(M$112,MATCH($N$1,$C$112:$C$113,0)-1,0)</f>
        <v>21.6</v>
      </c>
      <c r="N36" s="43">
        <v>22.4</v>
      </c>
      <c r="O36" s="29">
        <f t="shared" ca="1" si="0"/>
        <v>0.61151079136690634</v>
      </c>
      <c r="P36" s="29">
        <f t="shared" ca="1" si="1"/>
        <v>2.2831050228310504E-2</v>
      </c>
    </row>
    <row r="37" spans="1:16" ht="18" customHeight="1" x14ac:dyDescent="0.2">
      <c r="A37" s="199"/>
      <c r="B37" s="42" t="s">
        <v>79</v>
      </c>
      <c r="C37" s="43"/>
      <c r="D37" s="43">
        <f ca="1">2.8*OFFSET(D$112,MATCH($N$1,$C$112:$C$113,0)-1,0)</f>
        <v>2.8</v>
      </c>
      <c r="E37" s="43">
        <f ca="1">8.3*OFFSET(E$112,MATCH($N$1,$C$112:$C$113,0)-1,0)</f>
        <v>8.3000000000000007</v>
      </c>
      <c r="F37" s="43">
        <f ca="1">12.8*OFFSET(F$112,MATCH($N$1,$C$112:$C$113,0)-1,0)</f>
        <v>12.8</v>
      </c>
      <c r="G37" s="43">
        <f ca="1">10.4*OFFSET(G$112,MATCH($N$1,$C$112:$C$113,0)-1,0)</f>
        <v>10.4</v>
      </c>
      <c r="H37" s="43">
        <f ca="1">14.2*OFFSET(H$112,MATCH($N$1,$C$112:$C$113,0)-1,0)</f>
        <v>14.2</v>
      </c>
      <c r="I37" s="43">
        <f ca="1">16.3*OFFSET(I$112,MATCH($N$1,$C$112:$C$113,0)-1,0)</f>
        <v>16.3</v>
      </c>
      <c r="J37" s="43">
        <f ca="1">13.7*OFFSET(J$112,MATCH($N$1,$C$112:$C$113,0)-1,0)</f>
        <v>13.7</v>
      </c>
      <c r="K37" s="43">
        <f ca="1">12.9*OFFSET(K$112,MATCH($N$1,$C$112:$C$113,0)-1,0)</f>
        <v>12.9</v>
      </c>
      <c r="L37" s="43">
        <f ca="1">16.8*OFFSET(L$112,MATCH($N$1,$C$112:$C$113,0)-1,0)</f>
        <v>16.8</v>
      </c>
      <c r="M37" s="43">
        <f ca="1">12.9*OFFSET(M$112,MATCH($N$1,$C$112:$C$113,0)-1,0)</f>
        <v>12.9</v>
      </c>
      <c r="N37" s="43">
        <v>13.4</v>
      </c>
      <c r="O37" s="29">
        <f t="shared" ca="1" si="0"/>
        <v>3.7857142857142865</v>
      </c>
      <c r="P37" s="29">
        <f t="shared" ca="1" si="1"/>
        <v>-2.1897810218978027E-2</v>
      </c>
    </row>
    <row r="38" spans="1:16" ht="18" customHeight="1" x14ac:dyDescent="0.2">
      <c r="A38" s="199"/>
      <c r="B38" s="37" t="s">
        <v>80</v>
      </c>
      <c r="C38" s="33"/>
      <c r="D38" s="33">
        <f ca="1">3*OFFSET(D$112,MATCH($N$1,$C$112:$C$113,0)-1,0)</f>
        <v>3</v>
      </c>
      <c r="E38" s="33">
        <f ca="1">2.9*OFFSET(E$112,MATCH($N$1,$C$112:$C$113,0)-1,0)</f>
        <v>2.9</v>
      </c>
      <c r="F38" s="33">
        <f ca="1">4.2*OFFSET(F$112,MATCH($N$1,$C$112:$C$113,0)-1,0)</f>
        <v>4.2</v>
      </c>
      <c r="G38" s="33">
        <f ca="1">2.7*OFFSET(G$112,MATCH($N$1,$C$112:$C$113,0)-1,0)</f>
        <v>2.7</v>
      </c>
      <c r="H38" s="33">
        <f ca="1">1.9*OFFSET(H$112,MATCH($N$1,$C$112:$C$113,0)-1,0)</f>
        <v>1.9</v>
      </c>
      <c r="I38" s="33">
        <f ca="1">2.9*OFFSET(I$112,MATCH($N$1,$C$112:$C$113,0)-1,0)</f>
        <v>2.9</v>
      </c>
      <c r="J38" s="33">
        <f ca="1">2.3*OFFSET(J$112,MATCH($N$1,$C$112:$C$113,0)-1,0)</f>
        <v>2.2999999999999998</v>
      </c>
      <c r="K38" s="33">
        <f ca="1">1.9*OFFSET(K$112,MATCH($N$1,$C$112:$C$113,0)-1,0)</f>
        <v>1.9</v>
      </c>
      <c r="L38" s="33">
        <f ca="1">4*OFFSET(L$112,MATCH($N$1,$C$112:$C$113,0)-1,0)</f>
        <v>4</v>
      </c>
      <c r="M38" s="33">
        <f ca="1">3.3*OFFSET(M$112,MATCH($N$1,$C$112:$C$113,0)-1,0)</f>
        <v>3.3</v>
      </c>
      <c r="N38" s="33"/>
      <c r="O38" s="29" t="str">
        <f t="shared" si="0"/>
        <v/>
      </c>
      <c r="P38" s="29" t="str">
        <f t="shared" si="1"/>
        <v/>
      </c>
    </row>
    <row r="39" spans="1:16" ht="18" customHeight="1" x14ac:dyDescent="0.2">
      <c r="A39" s="199"/>
      <c r="B39" s="37" t="s">
        <v>81</v>
      </c>
      <c r="C39" s="33"/>
      <c r="D39" s="33">
        <f ca="1">0.2*OFFSET(D$112,MATCH($N$1,$C$112:$C$113,0)-1,0)</f>
        <v>0.2</v>
      </c>
      <c r="E39" s="33">
        <f ca="1">0.1*OFFSET(E$112,MATCH($N$1,$C$112:$C$113,0)-1,0)</f>
        <v>0.1</v>
      </c>
      <c r="F39" s="33">
        <f ca="1">0.4*OFFSET(F$112,MATCH($N$1,$C$112:$C$113,0)-1,0)</f>
        <v>0.4</v>
      </c>
      <c r="G39" s="33">
        <f ca="1">0.3*OFFSET(G$112,MATCH($N$1,$C$112:$C$113,0)-1,0)</f>
        <v>0.3</v>
      </c>
      <c r="H39" s="33">
        <f ca="1">0.3*OFFSET(H$112,MATCH($N$1,$C$112:$C$113,0)-1,0)</f>
        <v>0.3</v>
      </c>
      <c r="I39" s="33">
        <f ca="1">0.1*OFFSET(I$112,MATCH($N$1,$C$112:$C$113,0)-1,0)</f>
        <v>0.1</v>
      </c>
      <c r="J39" s="33">
        <f ca="1">0.2*OFFSET(J$112,MATCH($N$1,$C$112:$C$113,0)-1,0)</f>
        <v>0.2</v>
      </c>
      <c r="K39" s="33">
        <f ca="1">0.4*OFFSET(K$112,MATCH($N$1,$C$112:$C$113,0)-1,0)</f>
        <v>0.4</v>
      </c>
      <c r="L39" s="33">
        <f ca="1">0.3*OFFSET(L$112,MATCH($N$1,$C$112:$C$113,0)-1,0)</f>
        <v>0.3</v>
      </c>
      <c r="M39" s="33">
        <f ca="1">0.5*OFFSET(M$112,MATCH($N$1,$C$112:$C$113,0)-1,0)</f>
        <v>0.5</v>
      </c>
      <c r="N39" s="33"/>
      <c r="O39" s="29" t="str">
        <f t="shared" si="0"/>
        <v/>
      </c>
      <c r="P39" s="29" t="str">
        <f t="shared" si="1"/>
        <v/>
      </c>
    </row>
    <row r="40" spans="1:16" ht="18" customHeight="1" x14ac:dyDescent="0.2">
      <c r="A40" s="199"/>
      <c r="B40" s="37" t="s">
        <v>82</v>
      </c>
      <c r="C40" s="33"/>
      <c r="D40" s="33">
        <f ca="1">0.3*OFFSET(D$112,MATCH($N$1,$C$112:$C$113,0)-1,0)</f>
        <v>0.3</v>
      </c>
      <c r="E40" s="33">
        <f ca="1">0.2*OFFSET(E$112,MATCH($N$1,$C$112:$C$113,0)-1,0)</f>
        <v>0.2</v>
      </c>
      <c r="F40" s="33">
        <f ca="1">0.3*OFFSET(F$112,MATCH($N$1,$C$112:$C$113,0)-1,0)</f>
        <v>0.3</v>
      </c>
      <c r="G40" s="33">
        <f ca="1">0.2*OFFSET(G$112,MATCH($N$1,$C$112:$C$113,0)-1,0)</f>
        <v>0.2</v>
      </c>
      <c r="H40" s="33">
        <f ca="1">0.1*OFFSET(H$112,MATCH($N$1,$C$112:$C$113,0)-1,0)</f>
        <v>0.1</v>
      </c>
      <c r="I40" s="33">
        <f ca="1">0.1*OFFSET(I$112,MATCH($N$1,$C$112:$C$113,0)-1,0)</f>
        <v>0.1</v>
      </c>
      <c r="J40" s="33">
        <f ca="1">0.1*OFFSET(J$112,MATCH($N$1,$C$112:$C$113,0)-1,0)</f>
        <v>0.1</v>
      </c>
      <c r="K40" s="33">
        <f ca="1">0.9*OFFSET(K$112,MATCH($N$1,$C$112:$C$113,0)-1,0)</f>
        <v>0.9</v>
      </c>
      <c r="L40" s="33">
        <f ca="1">0.6*OFFSET(L$112,MATCH($N$1,$C$112:$C$113,0)-1,0)</f>
        <v>0.6</v>
      </c>
      <c r="M40" s="33">
        <f ca="1">1.1*OFFSET(M$112,MATCH($N$1,$C$112:$C$113,0)-1,0)</f>
        <v>1.1000000000000001</v>
      </c>
      <c r="N40" s="33"/>
      <c r="O40" s="29" t="str">
        <f t="shared" si="0"/>
        <v/>
      </c>
      <c r="P40" s="29" t="str">
        <f t="shared" si="1"/>
        <v/>
      </c>
    </row>
    <row r="41" spans="1:16" ht="18" customHeight="1" thickBot="1" x14ac:dyDescent="0.25">
      <c r="A41" s="200"/>
      <c r="B41" s="44" t="s">
        <v>83</v>
      </c>
      <c r="C41" s="45"/>
      <c r="D41" s="45">
        <f ca="1">-0.7*OFFSET(D$112,MATCH($N$1,$C$112:$C$113,0)-1,0)</f>
        <v>-0.7</v>
      </c>
      <c r="E41" s="45">
        <f ca="1">5.1*OFFSET(E$112,MATCH($N$1,$C$112:$C$113,0)-1,0)</f>
        <v>5.0999999999999996</v>
      </c>
      <c r="F41" s="45">
        <f ca="1">7.9*OFFSET(F$112,MATCH($N$1,$C$112:$C$113,0)-1,0)</f>
        <v>7.9</v>
      </c>
      <c r="G41" s="45">
        <f ca="1">7.1*OFFSET(G$112,MATCH($N$1,$C$112:$C$113,0)-1,0)</f>
        <v>7.1</v>
      </c>
      <c r="H41" s="45">
        <f ca="1">12*OFFSET(H$112,MATCH($N$1,$C$112:$C$113,0)-1,0)</f>
        <v>12</v>
      </c>
      <c r="I41" s="45">
        <f ca="1">13.2*OFFSET(I$112,MATCH($N$1,$C$112:$C$113,0)-1,0)</f>
        <v>13.2</v>
      </c>
      <c r="J41" s="45">
        <f ca="1">11.1*OFFSET(J$112,MATCH($N$1,$C$112:$C$113,0)-1,0)</f>
        <v>11.1</v>
      </c>
      <c r="K41" s="45">
        <f ca="1">9.7*OFFSET(K$112,MATCH($N$1,$C$112:$C$113,0)-1,0)</f>
        <v>9.6999999999999993</v>
      </c>
      <c r="L41" s="45">
        <f ca="1">11.9*OFFSET(L$112,MATCH($N$1,$C$112:$C$113,0)-1,0)</f>
        <v>11.9</v>
      </c>
      <c r="M41" s="45">
        <f ca="1">5*OFFSET(M$112,MATCH($N$1,$C$112:$C$113,0)-1,0)</f>
        <v>5</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130</v>
      </c>
      <c r="F46" s="94" t="s">
        <v>130</v>
      </c>
      <c r="G46" s="94" t="s">
        <v>21</v>
      </c>
      <c r="H46" s="94" t="s">
        <v>130</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Under 10m using hooks</v>
      </c>
      <c r="C48" s="96"/>
      <c r="D48" s="96"/>
      <c r="E48" s="96"/>
      <c r="F48" s="96"/>
      <c r="G48" s="96"/>
      <c r="K48" s="96" t="str">
        <f>$B24&amp;CHAR(10)&amp;$A$1</f>
        <v>Operating profit per kW day at sea (£)
Under 10m using hooks</v>
      </c>
    </row>
    <row r="49" spans="1:11" s="82" customFormat="1" x14ac:dyDescent="0.2">
      <c r="A49" s="96" t="str">
        <f>$B22&amp;CHAR(10)&amp;$A$1</f>
        <v>Fishing income per kW day at sea (£)
Under 10m using hooks</v>
      </c>
    </row>
    <row r="50" spans="1:11" s="82" customFormat="1" x14ac:dyDescent="0.2">
      <c r="A50" s="96" t="str">
        <f>$B20&amp;CHAR(10)&amp;$A$1</f>
        <v>Average price per tonne landed (£)
Under 10m using hooks</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Under 10m using hooks</v>
      </c>
      <c r="F62" s="96" t="str">
        <f>$B20&amp;CHAR(10)&amp;$A$1</f>
        <v>Average price per tonne landed (£)
Under 10m using hooks</v>
      </c>
      <c r="K62" s="96" t="str">
        <f>"Average annual operating profit per vessel (£'000)"&amp;CHAR(10)&amp;$A$1</f>
        <v>Average annual operating profit per vessel (£'000)
Under 10m using hooks</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Under 10m using hooks</v>
      </c>
      <c r="F76" s="96" t="str">
        <f>"Top 5 landed species by value in "&amp;A77&amp;CHAR(10)&amp;A1</f>
        <v>Top 5 landed species by value in 2020
Under 10m using hooks</v>
      </c>
    </row>
    <row r="77" spans="1:11" s="96" customFormat="1" x14ac:dyDescent="0.2">
      <c r="A77" s="96">
        <v>2020</v>
      </c>
      <c r="B77" s="96" t="s">
        <v>496</v>
      </c>
      <c r="C77" s="97">
        <v>0.43167476803079147</v>
      </c>
      <c r="D77" s="98">
        <v>3050596</v>
      </c>
      <c r="G77" s="96" t="s">
        <v>497</v>
      </c>
      <c r="H77" s="97">
        <v>0.29837345634257517</v>
      </c>
      <c r="I77" s="98">
        <v>12153634</v>
      </c>
      <c r="K77" s="96" t="s">
        <v>87</v>
      </c>
    </row>
    <row r="78" spans="1:11" s="96" customFormat="1" x14ac:dyDescent="0.2">
      <c r="B78" s="96" t="s">
        <v>498</v>
      </c>
      <c r="C78" s="97">
        <v>0.16841555032463612</v>
      </c>
      <c r="D78" s="98">
        <v>1692097</v>
      </c>
      <c r="G78" s="96" t="s">
        <v>499</v>
      </c>
      <c r="H78" s="97">
        <v>0.26623622361044352</v>
      </c>
      <c r="I78" s="98">
        <v>553960</v>
      </c>
    </row>
    <row r="79" spans="1:11" s="96" customFormat="1" x14ac:dyDescent="0.2">
      <c r="B79" s="96" t="s">
        <v>500</v>
      </c>
      <c r="C79" s="97">
        <v>0.13417334635837722</v>
      </c>
      <c r="D79" s="98">
        <v>12153634</v>
      </c>
      <c r="G79" s="96" t="s">
        <v>501</v>
      </c>
      <c r="H79" s="97">
        <v>0.15721795276369671</v>
      </c>
      <c r="I79" s="98">
        <v>3050596</v>
      </c>
    </row>
    <row r="80" spans="1:11" s="96" customFormat="1" x14ac:dyDescent="0.2">
      <c r="B80" s="96" t="s">
        <v>502</v>
      </c>
      <c r="C80" s="97">
        <v>0.10048720068879781</v>
      </c>
      <c r="D80" s="98">
        <v>553960</v>
      </c>
      <c r="G80" s="96" t="s">
        <v>503</v>
      </c>
      <c r="H80" s="97">
        <v>0.14435473312197952</v>
      </c>
      <c r="I80" s="98">
        <v>1692097</v>
      </c>
    </row>
    <row r="81" spans="1:19" s="96" customFormat="1" x14ac:dyDescent="0.2">
      <c r="B81" s="96" t="s">
        <v>504</v>
      </c>
      <c r="C81" s="97">
        <v>4.4022689489123343E-2</v>
      </c>
      <c r="D81" s="98">
        <v>3689192</v>
      </c>
      <c r="G81" s="96" t="s">
        <v>301</v>
      </c>
      <c r="H81" s="97">
        <v>3.0775438819716994E-2</v>
      </c>
      <c r="I81" s="98">
        <v>3689192</v>
      </c>
    </row>
    <row r="82" spans="1:19" s="96" customFormat="1" x14ac:dyDescent="0.2">
      <c r="B82" s="96" t="s">
        <v>505</v>
      </c>
      <c r="C82" s="97">
        <v>0.12122644510827407</v>
      </c>
      <c r="D82" s="98">
        <v>5920853</v>
      </c>
      <c r="G82" s="96" t="s">
        <v>506</v>
      </c>
      <c r="H82" s="97">
        <v>0.10304219534158798</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162</v>
      </c>
      <c r="D92" s="102">
        <v>0.27919446797822484</v>
      </c>
      <c r="E92" s="102">
        <v>0.31141667646468979</v>
      </c>
      <c r="F92" s="102">
        <v>0.13783119231677812</v>
      </c>
      <c r="G92" s="102">
        <v>0.21859195914844093</v>
      </c>
      <c r="H92" s="102">
        <v>0.28741259088271609</v>
      </c>
      <c r="I92" s="102">
        <v>0.29544275449194413</v>
      </c>
      <c r="J92" s="102">
        <v>0.27208691758001519</v>
      </c>
      <c r="K92" s="102">
        <v>0.35701761239707852</v>
      </c>
      <c r="L92" s="102">
        <v>0.29837345634257517</v>
      </c>
      <c r="M92" s="102">
        <v>0.29544585968193138</v>
      </c>
      <c r="O92" s="96">
        <v>12153634</v>
      </c>
    </row>
    <row r="93" spans="1:19" s="96" customFormat="1" hidden="1" x14ac:dyDescent="0.2">
      <c r="B93" s="96">
        <v>2</v>
      </c>
      <c r="C93" s="96" t="s">
        <v>228</v>
      </c>
      <c r="D93" s="102">
        <v>0.21248345121293941</v>
      </c>
      <c r="E93" s="102">
        <v>0.22682605482325513</v>
      </c>
      <c r="F93" s="102">
        <v>0.32116198684164082</v>
      </c>
      <c r="G93" s="102">
        <v>0.25458513133870647</v>
      </c>
      <c r="H93" s="102">
        <v>0.2262429138774022</v>
      </c>
      <c r="I93" s="102">
        <v>0.21050645095815926</v>
      </c>
      <c r="J93" s="102">
        <v>0.24150489706503203</v>
      </c>
      <c r="K93" s="102">
        <v>0.21148227692380761</v>
      </c>
      <c r="L93" s="102">
        <v>0.26623622361044352</v>
      </c>
      <c r="M93" s="102">
        <v>0.32265827488036869</v>
      </c>
      <c r="O93" s="96">
        <v>553960</v>
      </c>
    </row>
    <row r="94" spans="1:19" s="96" customFormat="1" hidden="1" x14ac:dyDescent="0.2">
      <c r="B94" s="96">
        <v>3</v>
      </c>
      <c r="C94" s="96" t="s">
        <v>213</v>
      </c>
      <c r="D94" s="102">
        <v>0.13148248361667758</v>
      </c>
      <c r="E94" s="102">
        <v>0.10673358043299384</v>
      </c>
      <c r="F94" s="102">
        <v>0.10508980186432716</v>
      </c>
      <c r="G94" s="102">
        <v>8.0592152990605431E-2</v>
      </c>
      <c r="H94" s="102">
        <v>0.10358897568382357</v>
      </c>
      <c r="I94" s="102">
        <v>0.15261576022701329</v>
      </c>
      <c r="J94" s="102">
        <v>0.12186294089352287</v>
      </c>
      <c r="K94" s="102">
        <v>0.13601013349979019</v>
      </c>
      <c r="L94" s="102">
        <v>0.15721795276369671</v>
      </c>
      <c r="M94" s="102">
        <v>0.14697667100580447</v>
      </c>
      <c r="O94" s="96">
        <v>3050596</v>
      </c>
    </row>
    <row r="95" spans="1:19" s="96" customFormat="1" hidden="1" x14ac:dyDescent="0.2">
      <c r="B95" s="96">
        <v>4</v>
      </c>
      <c r="C95" s="96" t="s">
        <v>100</v>
      </c>
      <c r="D95" s="102">
        <v>0.16754322252222756</v>
      </c>
      <c r="E95" s="102">
        <v>0.16996219309375496</v>
      </c>
      <c r="F95" s="102">
        <v>0.26057548135537073</v>
      </c>
      <c r="G95" s="102">
        <v>0.289731815883218</v>
      </c>
      <c r="H95" s="102">
        <v>0.21521991971403304</v>
      </c>
      <c r="I95" s="102">
        <v>0.16594160609956454</v>
      </c>
      <c r="J95" s="102">
        <v>0.17934107830268026</v>
      </c>
      <c r="K95" s="102">
        <v>0.16231050972396588</v>
      </c>
      <c r="L95" s="102">
        <v>0.14435473312197952</v>
      </c>
      <c r="M95" s="102">
        <v>9.7928294703032284E-2</v>
      </c>
      <c r="O95" s="96">
        <v>1692097</v>
      </c>
    </row>
    <row r="96" spans="1:19" s="96" customFormat="1" hidden="1" x14ac:dyDescent="0.2">
      <c r="B96" s="96">
        <v>5</v>
      </c>
      <c r="C96" s="96" t="s">
        <v>98</v>
      </c>
      <c r="D96" s="102"/>
      <c r="E96" s="102"/>
      <c r="F96" s="102"/>
      <c r="G96" s="102"/>
      <c r="H96" s="102"/>
      <c r="I96" s="102"/>
      <c r="J96" s="102"/>
      <c r="K96" s="102"/>
      <c r="L96" s="102">
        <v>3.0775438819716994E-2</v>
      </c>
      <c r="M96" s="102"/>
      <c r="O96" s="96">
        <v>3689192</v>
      </c>
    </row>
    <row r="97" spans="1:15" s="96" customFormat="1" hidden="1" x14ac:dyDescent="0.2">
      <c r="B97" s="96">
        <v>6</v>
      </c>
      <c r="C97" s="96" t="s">
        <v>101</v>
      </c>
      <c r="D97" s="102">
        <v>7.6646412587359283E-2</v>
      </c>
      <c r="E97" s="102">
        <v>7.2725228129391348E-2</v>
      </c>
      <c r="F97" s="102">
        <v>5.4083653060282448E-2</v>
      </c>
      <c r="G97" s="102">
        <v>6.912197334418746E-2</v>
      </c>
      <c r="H97" s="102">
        <v>5.6030024507622109E-2</v>
      </c>
      <c r="I97" s="102">
        <v>6.4978593939146692E-2</v>
      </c>
      <c r="J97" s="102">
        <v>5.9038540780753532E-2</v>
      </c>
      <c r="K97" s="102">
        <v>4.1046393631328719E-2</v>
      </c>
      <c r="L97" s="102"/>
      <c r="M97" s="102">
        <v>4.4686672961297171E-2</v>
      </c>
      <c r="O97" s="96">
        <v>11115023</v>
      </c>
    </row>
    <row r="98" spans="1:15" s="96" customFormat="1" hidden="1" x14ac:dyDescent="0.2">
      <c r="B98" s="96">
        <v>7</v>
      </c>
      <c r="C98" s="96" t="s">
        <v>107</v>
      </c>
      <c r="D98" s="102">
        <v>0.13264996208257132</v>
      </c>
      <c r="E98" s="102">
        <v>0.11233626705591494</v>
      </c>
      <c r="F98" s="102">
        <v>0.12125788456160072</v>
      </c>
      <c r="G98" s="102">
        <v>8.7376967294841665E-2</v>
      </c>
      <c r="H98" s="102">
        <v>0.11150557533440301</v>
      </c>
      <c r="I98" s="102">
        <v>0.11051483428417211</v>
      </c>
      <c r="J98" s="102">
        <v>0.12616562537799614</v>
      </c>
      <c r="K98" s="102">
        <v>9.2133073824029119E-2</v>
      </c>
      <c r="L98" s="102">
        <v>0.10304219534158804</v>
      </c>
      <c r="M98" s="102">
        <v>9.2304226767566028E-2</v>
      </c>
      <c r="O98" s="96">
        <v>5920853</v>
      </c>
    </row>
    <row r="99" spans="1:15" s="96" customFormat="1" hidden="1" x14ac:dyDescent="0.2">
      <c r="B99" s="96">
        <v>8</v>
      </c>
      <c r="D99" s="102"/>
      <c r="E99" s="102"/>
      <c r="F99" s="102"/>
      <c r="G99" s="102"/>
      <c r="H99" s="102"/>
      <c r="I99" s="102"/>
      <c r="J99" s="102"/>
      <c r="K99" s="102"/>
      <c r="L99" s="102"/>
      <c r="M99" s="102"/>
      <c r="O99" s="96">
        <v>7434864</v>
      </c>
    </row>
    <row r="100" spans="1:15" s="96" customFormat="1" hidden="1" x14ac:dyDescent="0.2">
      <c r="B100" s="96">
        <v>9</v>
      </c>
      <c r="D100" s="102"/>
      <c r="E100" s="102"/>
      <c r="F100" s="102"/>
      <c r="G100" s="102"/>
      <c r="H100" s="102"/>
      <c r="I100" s="102"/>
      <c r="J100" s="102"/>
      <c r="K100" s="102"/>
      <c r="L100" s="102"/>
      <c r="M100" s="102"/>
      <c r="O100" s="96">
        <v>8497745</v>
      </c>
    </row>
    <row r="101" spans="1:15" s="96" customFormat="1" hidden="1" x14ac:dyDescent="0.2">
      <c r="B101" s="96">
        <v>10</v>
      </c>
      <c r="D101" s="102"/>
      <c r="E101" s="102"/>
      <c r="F101" s="102"/>
      <c r="G101" s="102"/>
      <c r="H101" s="102"/>
      <c r="I101" s="102"/>
      <c r="J101" s="102"/>
      <c r="K101" s="102"/>
      <c r="L101" s="102"/>
      <c r="M101" s="102"/>
      <c r="O101" s="96">
        <v>14393110</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8</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50</v>
      </c>
      <c r="D120" s="56">
        <v>98</v>
      </c>
      <c r="E120" s="56">
        <v>50</v>
      </c>
      <c r="F120" s="57">
        <v>201</v>
      </c>
    </row>
    <row r="121" spans="1:15" ht="18" customHeight="1" x14ac:dyDescent="0.2">
      <c r="A121" s="194" t="s">
        <v>27</v>
      </c>
      <c r="B121" s="35" t="s">
        <v>62</v>
      </c>
      <c r="C121" s="58">
        <v>6.5086002349853516</v>
      </c>
      <c r="D121" s="58">
        <v>6.9876530170440674</v>
      </c>
      <c r="E121" s="58">
        <v>7.917600154876709</v>
      </c>
      <c r="F121" s="59">
        <v>7.1032834053039551</v>
      </c>
    </row>
    <row r="122" spans="1:15" ht="18" customHeight="1" x14ac:dyDescent="0.2">
      <c r="A122" s="195"/>
      <c r="B122" s="37" t="s">
        <v>55</v>
      </c>
      <c r="C122" s="60">
        <v>35.180000305175781</v>
      </c>
      <c r="D122" s="60">
        <v>63.316324234008789</v>
      </c>
      <c r="E122" s="60">
        <v>114.95999908447266</v>
      </c>
      <c r="F122" s="61">
        <v>68.089553833007813</v>
      </c>
    </row>
    <row r="123" spans="1:15" ht="18" customHeight="1" x14ac:dyDescent="0.2">
      <c r="A123" s="195"/>
      <c r="B123" s="37" t="s">
        <v>56</v>
      </c>
      <c r="C123" s="60">
        <v>2.1836733818054199</v>
      </c>
      <c r="D123" s="60">
        <v>2.9641835689544678</v>
      </c>
      <c r="E123" s="60">
        <v>3.559999942779541</v>
      </c>
      <c r="F123" s="61">
        <v>2.8824501037597656</v>
      </c>
    </row>
    <row r="124" spans="1:15" ht="18" customHeight="1" x14ac:dyDescent="0.2">
      <c r="A124" s="195"/>
      <c r="B124" s="37" t="s">
        <v>57</v>
      </c>
      <c r="C124" s="60">
        <v>32.105495452880859</v>
      </c>
      <c r="D124" s="60">
        <v>46.704517364501953</v>
      </c>
      <c r="E124" s="60">
        <v>75.950294494628906</v>
      </c>
      <c r="F124" s="61">
        <v>49.167736053466797</v>
      </c>
    </row>
    <row r="125" spans="1:15" ht="18" customHeight="1" x14ac:dyDescent="0.2">
      <c r="A125" s="195"/>
      <c r="B125" s="37" t="s">
        <v>58</v>
      </c>
      <c r="C125" s="33">
        <v>14.402722358703613</v>
      </c>
      <c r="D125" s="33">
        <v>12.965577602386475</v>
      </c>
      <c r="E125" s="33">
        <v>6.9321060180664063</v>
      </c>
      <c r="F125" s="62">
        <v>10.408326148986816</v>
      </c>
    </row>
    <row r="126" spans="1:15" ht="18" customHeight="1" x14ac:dyDescent="0.2">
      <c r="A126" s="195"/>
      <c r="B126" s="37" t="s">
        <v>63</v>
      </c>
      <c r="C126" s="33">
        <f ca="1">79.12128125*OFFSET($L$112,MATCH($N$1,$C$112:$C$113,0)-1,0)</f>
        <v>79.121281249999996</v>
      </c>
      <c r="D126" s="33">
        <f ca="1">48.2732265625*OFFSET($L$112,MATCH($N$1,$C$112:$C$113,0)-1,0)</f>
        <v>48.2732265625</v>
      </c>
      <c r="E126" s="33">
        <f ca="1">25.111986328125*OFFSET($L$112,MATCH($N$1,$C$112:$C$113,0)-1,0)</f>
        <v>25.111986328124999</v>
      </c>
      <c r="F126" s="62">
        <f ca="1">36.43189453125*OFFSET($L$112,MATCH($N$1,$C$112:$C$113,0)-1,0)</f>
        <v>36.431894531250002</v>
      </c>
    </row>
    <row r="127" spans="1:15" ht="18" customHeight="1" x14ac:dyDescent="0.2">
      <c r="A127" s="195"/>
      <c r="B127" s="37" t="s">
        <v>60</v>
      </c>
      <c r="C127" s="60">
        <v>52.799999237060547</v>
      </c>
      <c r="D127" s="60">
        <v>67.938777923583984</v>
      </c>
      <c r="E127" s="60">
        <v>57.860000610351563</v>
      </c>
      <c r="F127" s="61">
        <v>51.646766662597656</v>
      </c>
    </row>
    <row r="128" spans="1:15" ht="18" customHeight="1" x14ac:dyDescent="0.2">
      <c r="A128" s="195"/>
      <c r="B128" s="37" t="s">
        <v>64</v>
      </c>
      <c r="C128" s="60">
        <v>27.700000762939453</v>
      </c>
      <c r="D128" s="60">
        <v>24.197916984558105</v>
      </c>
      <c r="E128" s="60">
        <v>21.82978630065918</v>
      </c>
      <c r="F128" s="61">
        <v>24.564102172851563</v>
      </c>
    </row>
    <row r="129" spans="1:15" ht="18" customHeight="1" x14ac:dyDescent="0.2">
      <c r="A129" s="195"/>
      <c r="B129" s="37" t="s">
        <v>65</v>
      </c>
      <c r="C129" s="63">
        <v>0.27277883887290955</v>
      </c>
      <c r="D129" s="63">
        <v>0.19084207868692996</v>
      </c>
      <c r="E129" s="63">
        <v>0.11980826407670975</v>
      </c>
      <c r="F129" s="64">
        <v>0.20152910053730011</v>
      </c>
    </row>
    <row r="130" spans="1:15" ht="18" customHeight="1" x14ac:dyDescent="0.2">
      <c r="A130" s="196"/>
      <c r="B130" s="39" t="s">
        <v>28</v>
      </c>
      <c r="C130" s="40">
        <f ca="1">5493.49486017043*OFFSET($L$112,MATCH($N$1,$C$112:$C$113,0)-1,0)</f>
        <v>5493.49486017043</v>
      </c>
      <c r="D130" s="40">
        <f ca="1">3723.18365158022*OFFSET($L$112,MATCH($N$1,$C$112:$C$113,0)-1,0)</f>
        <v>3723.1836515802202</v>
      </c>
      <c r="E130" s="40">
        <f ca="1">3622.56235878077*OFFSET($L$112,MATCH($N$1,$C$112:$C$113,0)-1,0)</f>
        <v>3622.56235878077</v>
      </c>
      <c r="F130" s="65">
        <f ca="1">3500*OFFSET($L$112,MATCH($N$1,$C$112:$C$113,0)-1,0)</f>
        <v>3500</v>
      </c>
    </row>
    <row r="131" spans="1:15" ht="18" customHeight="1" x14ac:dyDescent="0.2">
      <c r="A131" s="205" t="s">
        <v>29</v>
      </c>
      <c r="B131" s="35" t="s">
        <v>66</v>
      </c>
      <c r="C131" s="66">
        <v>7.0792442166151943</v>
      </c>
      <c r="D131" s="66">
        <v>3.3068738945461211</v>
      </c>
      <c r="E131" s="66">
        <v>1.1472893532780404</v>
      </c>
      <c r="F131" s="67">
        <v>3.101523113156313</v>
      </c>
    </row>
    <row r="132" spans="1:15" ht="18" customHeight="1" x14ac:dyDescent="0.2">
      <c r="A132" s="206"/>
      <c r="B132" s="37" t="s">
        <v>67</v>
      </c>
      <c r="C132" s="63">
        <f ca="1">38.8897917178668*OFFSET($L$112,MATCH($N$1,$C$112:$C$113,0)-1,0)</f>
        <v>38.8897917178668</v>
      </c>
      <c r="D132" s="63">
        <f ca="1">12.3120988220115*OFFSET($L$112,MATCH($N$1,$C$112:$C$113,0)-1,0)</f>
        <v>12.3120988220115</v>
      </c>
      <c r="E132" s="63">
        <f ca="1">4.15612722581496*OFFSET($L$112,MATCH($N$1,$C$112:$C$113,0)-1,0)</f>
        <v>4.1561272258149602</v>
      </c>
      <c r="F132" s="64">
        <f ca="1">10.8561512511543*OFFSET($L$112,MATCH($N$1,$C$112:$C$113,0)-1,0)</f>
        <v>10.8561512511543</v>
      </c>
    </row>
    <row r="133" spans="1:15" ht="18" customHeight="1" x14ac:dyDescent="0.2">
      <c r="A133" s="206"/>
      <c r="B133" s="37" t="s">
        <v>11</v>
      </c>
      <c r="C133" s="63">
        <f ca="1">24.4757205778447*OFFSET($L$112,MATCH($N$1,$C$112:$C$113,0)-1,0)</f>
        <v>24.475720577844701</v>
      </c>
      <c r="D133" s="63">
        <f ca="1">8.20432041186631*OFFSET($L$112,MATCH($N$1,$C$112:$C$113,0)-1,0)</f>
        <v>8.2043204118663091</v>
      </c>
      <c r="E133" s="63">
        <f ca="1">3.24157531098214*OFFSET($L$112,MATCH($N$1,$C$112:$C$113,0)-1,0)</f>
        <v>3.2415753109821401</v>
      </c>
      <c r="F133" s="64">
        <f ca="1">7.00473480115588*OFFSET($L$112,MATCH($N$1,$C$112:$C$113,0)-1,0)</f>
        <v>7.0047348011558803</v>
      </c>
    </row>
    <row r="134" spans="1:15" ht="18" customHeight="1" x14ac:dyDescent="0.2">
      <c r="A134" s="207"/>
      <c r="B134" s="39" t="s">
        <v>12</v>
      </c>
      <c r="C134" s="68">
        <f ca="1">14.4140711400221*OFFSET($L$112,MATCH($N$1,$C$112:$C$113,0)-1,0)</f>
        <v>14.4140711400221</v>
      </c>
      <c r="D134" s="68">
        <f ca="1">4.10777841014522*OFFSET($L$112,MATCH($N$1,$C$112:$C$113,0)-1,0)</f>
        <v>4.1077784101452197</v>
      </c>
      <c r="E134" s="68">
        <f ca="1">0.914551914832819*OFFSET($L$112,MATCH($N$1,$C$112:$C$113,0)-1,0)</f>
        <v>0.91455191483281895</v>
      </c>
      <c r="F134" s="69">
        <f ca="1">3.85141644999839*OFFSET($L$112,MATCH($N$1,$C$112:$C$113,0)-1,0)</f>
        <v>3.8514164499983901</v>
      </c>
    </row>
    <row r="135" spans="1:15" ht="18" customHeight="1" x14ac:dyDescent="0.2">
      <c r="A135" s="208" t="s">
        <v>49</v>
      </c>
      <c r="B135" s="37" t="s">
        <v>109</v>
      </c>
      <c r="C135" s="70">
        <f ca="1">1.11175024414063*OFFSET($L$112,MATCH($N$1,$C$112:$C$113,0)-1,0)</f>
        <v>1.11175024414063</v>
      </c>
      <c r="D135" s="70">
        <f ca="1">2.46447760009766*OFFSET($L$112,MATCH($N$1,$C$112:$C$113,0)-1,0)</f>
        <v>2.46447760009766</v>
      </c>
      <c r="E135" s="70">
        <f ca="1">4.13446435546875*OFFSET($L$112,MATCH($N$1,$C$112:$C$113,0)-1,0)</f>
        <v>4.1344643554687499</v>
      </c>
      <c r="F135" s="71">
        <f ca="1">1.45470373535156*OFFSET($L$112,MATCH($N$1,$C$112:$C$113,0)-1,0)</f>
        <v>1.4547037353515599</v>
      </c>
    </row>
    <row r="136" spans="1:15" ht="18" customHeight="1" x14ac:dyDescent="0.2">
      <c r="A136" s="209"/>
      <c r="B136" s="37" t="s">
        <v>110</v>
      </c>
      <c r="C136" s="31">
        <v>2121.6000608964387</v>
      </c>
      <c r="D136" s="31">
        <v>4718.775518939874</v>
      </c>
      <c r="E136" s="31">
        <v>7894.8000259073451</v>
      </c>
      <c r="F136" s="72">
        <v>4015.2238805970151</v>
      </c>
    </row>
    <row r="137" spans="1:15" ht="18" customHeight="1" x14ac:dyDescent="0.2">
      <c r="A137" s="209"/>
      <c r="B137" s="37" t="s">
        <v>111</v>
      </c>
      <c r="C137" s="31">
        <v>40.181819915771484</v>
      </c>
      <c r="D137" s="31">
        <v>69.456290842432395</v>
      </c>
      <c r="E137" s="31">
        <v>136.44659423828125</v>
      </c>
      <c r="F137" s="72">
        <v>77.74395751953125</v>
      </c>
    </row>
    <row r="138" spans="1:15" ht="18" customHeight="1" x14ac:dyDescent="0.2">
      <c r="A138" s="209"/>
      <c r="B138" s="37" t="s">
        <v>112</v>
      </c>
      <c r="C138" s="31">
        <f ca="1">21.0558761402459*OFFSET($L$112,MATCH($N$1,$C$112:$C$113,0)-1,0)</f>
        <v>21.0558761402459</v>
      </c>
      <c r="D138" s="31">
        <f ca="1">36.2749769044955*OFFSET($L$112,MATCH($N$1,$C$112:$C$113,0)-1,0)</f>
        <v>36.274976904495503</v>
      </c>
      <c r="E138" s="31">
        <f ca="1">71.4563482864718*OFFSET($L$112,MATCH($N$1,$C$112:$C$113,0)-1,0)</f>
        <v>71.456348286471794</v>
      </c>
      <c r="F138" s="72">
        <f ca="1">28.1664047791215*OFFSET($L$112,MATCH($N$1,$C$112:$C$113,0)-1,0)</f>
        <v>28.1664047791215</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77.1902850344672*OFFSET($L$112,MATCH($N$1,$C$112:$C$113,0)-1,0)</f>
        <v>77.190285034467195</v>
      </c>
      <c r="D139" s="31">
        <f ca="1">190.078504458146*OFFSET($L$112,MATCH($N$1,$C$112:$C$113,0)-1,0)</f>
        <v>190.078504458146</v>
      </c>
      <c r="E139" s="31">
        <f ca="1">596.422551053538*OFFSET($L$112,MATCH($N$1,$C$112:$C$113,0)-1,0)</f>
        <v>596.42255105353797</v>
      </c>
      <c r="F139" s="72">
        <f ca="1">139.763465760839*OFFSET($L$112,MATCH($N$1,$C$112:$C$113,0)-1,0)</f>
        <v>139.76346576083901</v>
      </c>
      <c r="I139" s="48"/>
      <c r="K139" s="73" t="s">
        <v>114</v>
      </c>
      <c r="L139" s="74">
        <f t="shared" ref="L139:M141" ca="1" si="2">C140</f>
        <v>80.325734374999996</v>
      </c>
      <c r="M139" s="74">
        <f t="shared" ca="1" si="2"/>
        <v>49.008083984374998</v>
      </c>
      <c r="N139" s="74">
        <f ca="1">E140</f>
        <v>25.49426171875</v>
      </c>
      <c r="O139" s="74"/>
    </row>
    <row r="140" spans="1:15" ht="18" customHeight="1" x14ac:dyDescent="0.2">
      <c r="A140" s="187" t="s">
        <v>50</v>
      </c>
      <c r="B140" s="35" t="s">
        <v>115</v>
      </c>
      <c r="C140" s="75">
        <f ca="1">80.325734375*OFFSET($L$112,MATCH($N$1,$C$112:$C$113,0)-1,0)</f>
        <v>80.325734374999996</v>
      </c>
      <c r="D140" s="75">
        <f ca="1">49.008083984375*OFFSET($L$112,MATCH($N$1,$C$112:$C$113,0)-1,0)</f>
        <v>49.008083984374998</v>
      </c>
      <c r="E140" s="75">
        <f ca="1">25.49426171875*OFFSET($L$112,MATCH($N$1,$C$112:$C$113,0)-1,0)</f>
        <v>25.49426171875</v>
      </c>
      <c r="F140" s="76">
        <f ca="1">42.3785390625*OFFSET($L$112,MATCH($N$1,$C$112:$C$113,0)-1,0)</f>
        <v>42.378539062500003</v>
      </c>
      <c r="I140" s="48"/>
      <c r="K140" s="73" t="s">
        <v>116</v>
      </c>
      <c r="L140" s="74">
        <f t="shared" ca="1" si="2"/>
        <v>51.000304687499998</v>
      </c>
      <c r="M140" s="74">
        <f t="shared" ca="1" si="2"/>
        <v>32.902323242187499</v>
      </c>
      <c r="N140" s="74">
        <f ca="1">E141</f>
        <v>19.968392578124998</v>
      </c>
      <c r="O140" s="74"/>
    </row>
    <row r="141" spans="1:15" ht="18" customHeight="1" x14ac:dyDescent="0.2">
      <c r="A141" s="188"/>
      <c r="B141" s="37" t="s">
        <v>117</v>
      </c>
      <c r="C141" s="31">
        <f ca="1">51.0003046875*OFFSET($L$112,MATCH($N$1,$C$112:$C$113,0)-1,0)</f>
        <v>51.000304687499998</v>
      </c>
      <c r="D141" s="31">
        <f ca="1">32.9023232421875*OFFSET($L$112,MATCH($N$1,$C$112:$C$113,0)-1,0)</f>
        <v>32.902323242187499</v>
      </c>
      <c r="E141" s="31">
        <f ca="1">19.968392578125*OFFSET($L$112,MATCH($N$1,$C$112:$C$113,0)-1,0)</f>
        <v>19.968392578124998</v>
      </c>
      <c r="F141" s="72">
        <f ca="1">29.4536640625*OFFSET($L$112,MATCH($N$1,$C$112:$C$113,0)-1,0)</f>
        <v>29.4536640625</v>
      </c>
      <c r="I141" s="48"/>
      <c r="K141" s="73" t="s">
        <v>118</v>
      </c>
      <c r="L141" s="74">
        <f t="shared" ca="1" si="2"/>
        <v>29.325429687500002</v>
      </c>
      <c r="M141" s="74">
        <f t="shared" ca="1" si="2"/>
        <v>16.105760742187499</v>
      </c>
      <c r="N141" s="74">
        <f ca="1">E142</f>
        <v>5.5258691406249998</v>
      </c>
      <c r="O141" s="74"/>
    </row>
    <row r="142" spans="1:15" ht="18" customHeight="1" x14ac:dyDescent="0.2">
      <c r="A142" s="189"/>
      <c r="B142" s="39" t="s">
        <v>119</v>
      </c>
      <c r="C142" s="40">
        <f ca="1">29.3254296875*OFFSET($L$112,MATCH($N$1,$C$112:$C$113,0)-1,0)</f>
        <v>29.325429687500002</v>
      </c>
      <c r="D142" s="40">
        <f ca="1">16.1057607421875*OFFSET($L$112,MATCH($N$1,$C$112:$C$113,0)-1,0)</f>
        <v>16.105760742187499</v>
      </c>
      <c r="E142" s="40">
        <f ca="1">5.525869140625*OFFSET($L$112,MATCH($N$1,$C$112:$C$113,0)-1,0)</f>
        <v>5.5258691406249998</v>
      </c>
      <c r="F142" s="65">
        <f ca="1">12.924875*OFFSET($L$112,MATCH($N$1,$C$112:$C$113,0)-1,0)</f>
        <v>12.924875</v>
      </c>
      <c r="I142" s="48"/>
      <c r="K142" s="73" t="s">
        <v>120</v>
      </c>
      <c r="L142" s="77">
        <f ca="1">IFERROR(L140/L$139,"")</f>
        <v>0.63491862333191396</v>
      </c>
      <c r="M142" s="77">
        <f t="shared" ref="M142:N143" ca="1" si="3">IFERROR(M140/M$139,"")</f>
        <v>0.67136522318802716</v>
      </c>
      <c r="N142" s="77">
        <f t="shared" ca="1" si="3"/>
        <v>0.78325047410331761</v>
      </c>
      <c r="O142" s="77"/>
    </row>
    <row r="143" spans="1:15" ht="18" customHeight="1" x14ac:dyDescent="0.2">
      <c r="I143" s="48"/>
      <c r="K143" s="73" t="s">
        <v>121</v>
      </c>
      <c r="L143" s="77">
        <f ca="1">IFERROR(L141/L$139,"")</f>
        <v>0.36508137666808604</v>
      </c>
      <c r="M143" s="77">
        <f t="shared" ca="1" si="3"/>
        <v>0.32863477681197284</v>
      </c>
      <c r="N143" s="77">
        <f t="shared" ca="1" si="3"/>
        <v>0.21674952589668231</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7</v>
      </c>
      <c r="B161" s="53"/>
      <c r="C161" s="78" t="s">
        <v>45</v>
      </c>
      <c r="D161" s="78" t="s">
        <v>122</v>
      </c>
      <c r="E161" s="78" t="s">
        <v>47</v>
      </c>
      <c r="F161" s="78" t="s">
        <v>123</v>
      </c>
      <c r="G161" s="79">
        <v>9</v>
      </c>
      <c r="H161" s="78"/>
      <c r="I161" s="78" t="s">
        <v>45</v>
      </c>
      <c r="J161" s="78" t="s">
        <v>122</v>
      </c>
      <c r="K161" s="78" t="s">
        <v>47</v>
      </c>
      <c r="L161" s="53" t="s">
        <v>123</v>
      </c>
      <c r="R161" s="21"/>
      <c r="S161" s="21"/>
    </row>
    <row r="162" spans="1:19" s="48" customFormat="1" x14ac:dyDescent="0.2">
      <c r="A162" s="49">
        <v>1</v>
      </c>
      <c r="B162" s="53" t="s">
        <v>213</v>
      </c>
      <c r="C162" s="53">
        <v>0.1626792462904843</v>
      </c>
      <c r="D162" s="53">
        <v>0.43334546845231287</v>
      </c>
      <c r="E162" s="53">
        <v>0.58148873423120373</v>
      </c>
      <c r="F162" s="49">
        <v>3050596</v>
      </c>
      <c r="G162" s="49">
        <v>1</v>
      </c>
      <c r="H162" s="53" t="s">
        <v>162</v>
      </c>
      <c r="I162" s="53">
        <v>0.18625881482475193</v>
      </c>
      <c r="J162" s="53">
        <v>0.30122264035110752</v>
      </c>
      <c r="K162" s="53">
        <v>0.17837087433258211</v>
      </c>
      <c r="L162" s="49">
        <v>12153634</v>
      </c>
      <c r="R162" s="21"/>
      <c r="S162" s="21"/>
    </row>
    <row r="163" spans="1:19" s="48" customFormat="1" x14ac:dyDescent="0.2">
      <c r="A163" s="49">
        <v>2</v>
      </c>
      <c r="B163" s="53" t="s">
        <v>100</v>
      </c>
      <c r="C163" s="53">
        <v>0.12991432961739038</v>
      </c>
      <c r="D163" s="53">
        <v>0.19260758014195234</v>
      </c>
      <c r="E163" s="53">
        <v>6.7405538434331155E-2</v>
      </c>
      <c r="F163" s="49">
        <v>1692097</v>
      </c>
      <c r="G163" s="49">
        <v>2</v>
      </c>
      <c r="H163" s="53" t="s">
        <v>228</v>
      </c>
      <c r="I163" s="53">
        <v>8.2141620826702649E-2</v>
      </c>
      <c r="J163" s="53">
        <v>0.27410795496799789</v>
      </c>
      <c r="K163" s="53">
        <v>0.36335881066870235</v>
      </c>
      <c r="L163" s="49">
        <v>553960</v>
      </c>
      <c r="N163" s="48" t="s">
        <v>124</v>
      </c>
      <c r="R163" s="21"/>
      <c r="S163" s="21"/>
    </row>
    <row r="164" spans="1:19" s="48" customFormat="1" x14ac:dyDescent="0.2">
      <c r="A164" s="49">
        <v>3</v>
      </c>
      <c r="B164" s="53" t="s">
        <v>162</v>
      </c>
      <c r="C164" s="53">
        <v>0.11408537458756084</v>
      </c>
      <c r="D164" s="53">
        <v>0.13433240645357131</v>
      </c>
      <c r="E164" s="53">
        <v>8.5114635163855021E-2</v>
      </c>
      <c r="F164" s="49">
        <v>12153634</v>
      </c>
      <c r="G164" s="49">
        <v>3</v>
      </c>
      <c r="H164" s="53" t="s">
        <v>100</v>
      </c>
      <c r="I164" s="53">
        <v>8.7631675758724867E-2</v>
      </c>
      <c r="J164" s="53">
        <v>0.15303617532580477</v>
      </c>
      <c r="K164" s="53">
        <v>7.2083634357571647E-2</v>
      </c>
      <c r="L164" s="49">
        <v>1692097</v>
      </c>
      <c r="N164" s="48" t="s">
        <v>125</v>
      </c>
      <c r="R164" s="21"/>
      <c r="S164" s="21"/>
    </row>
    <row r="165" spans="1:19" s="48" customFormat="1" x14ac:dyDescent="0.2">
      <c r="A165" s="49">
        <v>4</v>
      </c>
      <c r="B165" s="53" t="s">
        <v>228</v>
      </c>
      <c r="C165" s="53">
        <v>4.8244490287497534E-2</v>
      </c>
      <c r="D165" s="53">
        <v>0.10173234054635499</v>
      </c>
      <c r="E165" s="53">
        <v>0.11746891563368117</v>
      </c>
      <c r="F165" s="49">
        <v>553960</v>
      </c>
      <c r="G165" s="49">
        <v>4</v>
      </c>
      <c r="H165" s="53" t="s">
        <v>213</v>
      </c>
      <c r="I165" s="53">
        <v>4.4988698566880966E-2</v>
      </c>
      <c r="J165" s="53">
        <v>0.15215968368388477</v>
      </c>
      <c r="K165" s="53">
        <v>0.25124396920921233</v>
      </c>
      <c r="L165" s="49">
        <v>3050596</v>
      </c>
      <c r="R165" s="21"/>
      <c r="S165" s="21"/>
    </row>
    <row r="166" spans="1:19" s="48" customFormat="1" x14ac:dyDescent="0.2">
      <c r="A166" s="49">
        <v>5</v>
      </c>
      <c r="B166" s="53" t="s">
        <v>98</v>
      </c>
      <c r="C166" s="53">
        <v>2.2988432104018151E-2</v>
      </c>
      <c r="D166" s="53">
        <v>4.6801879349870464E-2</v>
      </c>
      <c r="E166" s="53">
        <v>4.3096206801960787E-2</v>
      </c>
      <c r="F166" s="49">
        <v>3689192</v>
      </c>
      <c r="G166" s="49">
        <v>5</v>
      </c>
      <c r="H166" s="53" t="s">
        <v>101</v>
      </c>
      <c r="I166" s="53">
        <v>0</v>
      </c>
      <c r="J166" s="53">
        <v>3.758536602278735E-2</v>
      </c>
      <c r="K166" s="53">
        <v>0</v>
      </c>
      <c r="L166" s="49">
        <v>11115023</v>
      </c>
      <c r="R166" s="21"/>
      <c r="S166" s="21"/>
    </row>
    <row r="167" spans="1:19" s="48" customFormat="1" x14ac:dyDescent="0.2">
      <c r="A167" s="49">
        <v>6</v>
      </c>
      <c r="B167" s="53" t="s">
        <v>107</v>
      </c>
      <c r="C167" s="53">
        <v>0.52208812711304875</v>
      </c>
      <c r="D167" s="53">
        <v>9.1180325055937872E-2</v>
      </c>
      <c r="E167" s="53">
        <v>0.10542596973496821</v>
      </c>
      <c r="F167" s="49">
        <v>5920853</v>
      </c>
      <c r="G167" s="49">
        <v>6</v>
      </c>
      <c r="H167" s="53" t="s">
        <v>245</v>
      </c>
      <c r="I167" s="53">
        <v>0</v>
      </c>
      <c r="J167" s="53">
        <v>0</v>
      </c>
      <c r="K167" s="53">
        <v>3.600967603687371E-2</v>
      </c>
      <c r="L167" s="49">
        <v>2480382</v>
      </c>
      <c r="R167" s="21"/>
      <c r="S167" s="21"/>
    </row>
    <row r="168" spans="1:19" s="48" customFormat="1" x14ac:dyDescent="0.2">
      <c r="A168" s="49">
        <v>7</v>
      </c>
      <c r="B168" s="53"/>
      <c r="C168" s="53">
        <v>0</v>
      </c>
      <c r="D168" s="53">
        <v>0</v>
      </c>
      <c r="E168" s="53">
        <v>0</v>
      </c>
      <c r="F168" s="49"/>
      <c r="G168" s="49">
        <v>7</v>
      </c>
      <c r="H168" s="53" t="s">
        <v>98</v>
      </c>
      <c r="I168" s="53">
        <v>1.0428027021260822E-2</v>
      </c>
      <c r="J168" s="53">
        <v>0</v>
      </c>
      <c r="K168" s="53">
        <v>0</v>
      </c>
      <c r="L168" s="49">
        <v>3689192</v>
      </c>
      <c r="R168" s="21"/>
      <c r="S168" s="21"/>
    </row>
    <row r="169" spans="1:19" s="48" customFormat="1" x14ac:dyDescent="0.2">
      <c r="A169" s="49">
        <v>8</v>
      </c>
      <c r="B169" s="53"/>
      <c r="C169" s="53">
        <v>0</v>
      </c>
      <c r="D169" s="53">
        <v>0</v>
      </c>
      <c r="E169" s="53">
        <v>0</v>
      </c>
      <c r="F169" s="49"/>
      <c r="G169" s="49">
        <v>8</v>
      </c>
      <c r="H169" s="53" t="s">
        <v>107</v>
      </c>
      <c r="I169" s="53">
        <v>0.58855116300167876</v>
      </c>
      <c r="J169" s="53">
        <v>8.1888179648417658E-2</v>
      </c>
      <c r="K169" s="53">
        <v>9.8933035395057822E-2</v>
      </c>
      <c r="L169" s="49">
        <v>5920853</v>
      </c>
      <c r="R169" s="21"/>
      <c r="S169" s="21"/>
    </row>
    <row r="170" spans="1:19" s="48" customFormat="1" x14ac:dyDescent="0.2">
      <c r="A170" s="49">
        <v>9</v>
      </c>
      <c r="B170" s="53"/>
      <c r="C170" s="53">
        <v>0</v>
      </c>
      <c r="D170" s="53">
        <v>0</v>
      </c>
      <c r="E170" s="53">
        <v>0</v>
      </c>
      <c r="F170" s="49"/>
      <c r="G170" s="49">
        <v>9</v>
      </c>
      <c r="H170" s="53"/>
      <c r="I170" s="53">
        <v>0</v>
      </c>
      <c r="J170" s="53">
        <v>0</v>
      </c>
      <c r="K170" s="53">
        <v>0</v>
      </c>
      <c r="L170" s="49"/>
      <c r="R170" s="21"/>
      <c r="S170" s="21"/>
    </row>
    <row r="171" spans="1:19" s="48" customFormat="1" x14ac:dyDescent="0.2">
      <c r="A171" s="49">
        <v>10</v>
      </c>
      <c r="B171" s="53"/>
      <c r="C171" s="53">
        <v>0</v>
      </c>
      <c r="D171" s="53">
        <v>0</v>
      </c>
      <c r="E171" s="53">
        <v>0</v>
      </c>
      <c r="F171" s="49"/>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AF285CDC-37AD-4A37-9C78-ECEFA4A2384F}">
      <formula1>$C$112:$C$113</formula1>
    </dataValidation>
  </dataValidations>
  <hyperlinks>
    <hyperlink ref="O1:P1" location="Home_page" display="Back to home page" xr:uid="{767D7DB8-91DE-49B7-AA28-281B301898FC}"/>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4D66AFD1-F230-4D36-98D4-BF669156AD0D}">
          <x14:colorSeries rgb="FF323232"/>
          <x14:colorNegative rgb="FFD00000"/>
          <x14:colorAxis rgb="FF000000"/>
          <x14:colorMarkers rgb="FFD00000"/>
          <x14:colorFirst rgb="FFD00000"/>
          <x14:colorLast rgb="FFD00000"/>
          <x14:colorHigh rgb="FFD00000"/>
          <x14:colorLow rgb="FFD00000"/>
          <x14:sparklines>
            <x14:sparkline>
              <xm:f>'U10m using hooks'!D3:N3</xm:f>
              <xm:sqref>C3</xm:sqref>
            </x14:sparkline>
            <x14:sparkline>
              <xm:f>'U10m using hooks'!D4:N4</xm:f>
              <xm:sqref>C4</xm:sqref>
            </x14:sparkline>
            <x14:sparkline>
              <xm:f>'U10m using hooks'!D5:N5</xm:f>
              <xm:sqref>C5</xm:sqref>
            </x14:sparkline>
            <x14:sparkline>
              <xm:f>'U10m using hooks'!D6:N6</xm:f>
              <xm:sqref>C6</xm:sqref>
            </x14:sparkline>
            <x14:sparkline>
              <xm:f>'U10m using hooks'!D7:N7</xm:f>
              <xm:sqref>C7</xm:sqref>
            </x14:sparkline>
            <x14:sparkline>
              <xm:f>'U10m using hooks'!D8:N8</xm:f>
              <xm:sqref>C8</xm:sqref>
            </x14:sparkline>
            <x14:sparkline>
              <xm:f>'U10m using hooks'!D9:N9</xm:f>
              <xm:sqref>C9</xm:sqref>
            </x14:sparkline>
            <x14:sparkline>
              <xm:f>'U10m using hooks'!D10:N10</xm:f>
              <xm:sqref>C10</xm:sqref>
            </x14:sparkline>
            <x14:sparkline>
              <xm:f>'U10m using hooks'!D11:N11</xm:f>
              <xm:sqref>C11</xm:sqref>
            </x14:sparkline>
            <x14:sparkline>
              <xm:f>'U10m using hooks'!D12:N12</xm:f>
              <xm:sqref>C12</xm:sqref>
            </x14:sparkline>
            <x14:sparkline>
              <xm:f>'U10m using hooks'!D13:N13</xm:f>
              <xm:sqref>C13</xm:sqref>
            </x14:sparkline>
            <x14:sparkline>
              <xm:f>'U10m using hooks'!D14:N14</xm:f>
              <xm:sqref>C14</xm:sqref>
            </x14:sparkline>
            <x14:sparkline>
              <xm:f>'U10m using hooks'!D15:N15</xm:f>
              <xm:sqref>C15</xm:sqref>
            </x14:sparkline>
            <x14:sparkline>
              <xm:f>'U10m using hooks'!D16:N16</xm:f>
              <xm:sqref>C16</xm:sqref>
            </x14:sparkline>
            <x14:sparkline>
              <xm:f>'U10m using hooks'!D17:N17</xm:f>
              <xm:sqref>C17</xm:sqref>
            </x14:sparkline>
            <x14:sparkline>
              <xm:f>'U10m using hooks'!D18:N18</xm:f>
              <xm:sqref>C18</xm:sqref>
            </x14:sparkline>
            <x14:sparkline>
              <xm:f>'U10m using hooks'!D19:N19</xm:f>
              <xm:sqref>C19</xm:sqref>
            </x14:sparkline>
            <x14:sparkline>
              <xm:f>'U10m using hooks'!D20:N20</xm:f>
              <xm:sqref>C20</xm:sqref>
            </x14:sparkline>
            <x14:sparkline>
              <xm:f>'U10m using hooks'!D21:N21</xm:f>
              <xm:sqref>C21</xm:sqref>
            </x14:sparkline>
            <x14:sparkline>
              <xm:f>'U10m using hooks'!D22:N22</xm:f>
              <xm:sqref>C22</xm:sqref>
            </x14:sparkline>
            <x14:sparkline>
              <xm:f>'U10m using hooks'!D23:N23</xm:f>
              <xm:sqref>C23</xm:sqref>
            </x14:sparkline>
            <x14:sparkline>
              <xm:f>'U10m using hooks'!D24:N24</xm:f>
              <xm:sqref>C24</xm:sqref>
            </x14:sparkline>
            <x14:sparkline>
              <xm:f>'U10m using hooks'!D25:N25</xm:f>
              <xm:sqref>C25</xm:sqref>
            </x14:sparkline>
            <x14:sparkline>
              <xm:f>'U10m using hooks'!D26:N26</xm:f>
              <xm:sqref>C26</xm:sqref>
            </x14:sparkline>
            <x14:sparkline>
              <xm:f>'U10m using hooks'!D27:N27</xm:f>
              <xm:sqref>C27</xm:sqref>
            </x14:sparkline>
            <x14:sparkline>
              <xm:f>'U10m using hooks'!D28:N28</xm:f>
              <xm:sqref>C28</xm:sqref>
            </x14:sparkline>
            <x14:sparkline>
              <xm:f>'U10m using hooks'!D29:N29</xm:f>
              <xm:sqref>C29</xm:sqref>
            </x14:sparkline>
            <x14:sparkline>
              <xm:f>'U10m using hooks'!D30:N30</xm:f>
              <xm:sqref>C30</xm:sqref>
            </x14:sparkline>
            <x14:sparkline>
              <xm:f>'U10m using hooks'!D31:N31</xm:f>
              <xm:sqref>C31</xm:sqref>
            </x14:sparkline>
            <x14:sparkline>
              <xm:f>'U10m using hooks'!D32:N32</xm:f>
              <xm:sqref>C32</xm:sqref>
            </x14:sparkline>
            <x14:sparkline>
              <xm:f>'U10m using hooks'!D33:N33</xm:f>
              <xm:sqref>C33</xm:sqref>
            </x14:sparkline>
            <x14:sparkline>
              <xm:f>'U10m using hooks'!D34:N34</xm:f>
              <xm:sqref>C34</xm:sqref>
            </x14:sparkline>
            <x14:sparkline>
              <xm:f>'U10m using hooks'!D35:N35</xm:f>
              <xm:sqref>C35</xm:sqref>
            </x14:sparkline>
            <x14:sparkline>
              <xm:f>'U10m using hooks'!D36:N36</xm:f>
              <xm:sqref>C36</xm:sqref>
            </x14:sparkline>
            <x14:sparkline>
              <xm:f>'U10m using hooks'!D37:N37</xm:f>
              <xm:sqref>C37</xm:sqref>
            </x14:sparkline>
            <x14:sparkline>
              <xm:f>'U10m using hooks'!D38:N38</xm:f>
              <xm:sqref>C38</xm:sqref>
            </x14:sparkline>
            <x14:sparkline>
              <xm:f>'U10m using hooks'!D39:N39</xm:f>
              <xm:sqref>C39</xm:sqref>
            </x14:sparkline>
            <x14:sparkline>
              <xm:f>'U10m using hooks'!D40:N40</xm:f>
              <xm:sqref>C40</xm:sqref>
            </x14:sparkline>
            <x14:sparkline>
              <xm:f>'U10m using hooks'!D41:N41</xm:f>
              <xm:sqref>C41</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5AA4E-27BA-4692-B5E2-8B22C1EE055F}">
  <sheetPr codeName="Feuil37">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507</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29</v>
      </c>
      <c r="E3" s="28">
        <v>32</v>
      </c>
      <c r="F3" s="28">
        <v>37</v>
      </c>
      <c r="G3" s="28">
        <v>40</v>
      </c>
      <c r="H3" s="28">
        <v>41</v>
      </c>
      <c r="I3" s="28">
        <v>51</v>
      </c>
      <c r="J3" s="28">
        <v>43</v>
      </c>
      <c r="K3" s="28">
        <v>30</v>
      </c>
      <c r="L3" s="28">
        <v>25</v>
      </c>
      <c r="M3" s="28">
        <v>27</v>
      </c>
      <c r="N3" s="28">
        <v>29</v>
      </c>
      <c r="O3" s="29">
        <f t="shared" ref="O3:O41" si="0">IF(N3=0,"",IFERROR(IF(AND(N3&gt;0,D3&lt;0),"na",IF(AND(N3&lt;0,D3&lt;0),-1,1)*(N3-D3)/D3),""))</f>
        <v>0</v>
      </c>
      <c r="P3" s="29">
        <f t="shared" ref="P3:P41" si="1">IF(N3=0,"",IFERROR(IF(AND(N3&gt;0,J3&lt;0),"na",IF(AND(N3&lt;0,J3&lt;0),-1,1)*(N3-J3)/J3),""))</f>
        <v>-0.32558139534883723</v>
      </c>
    </row>
    <row r="4" spans="1:17" ht="18" customHeight="1" x14ac:dyDescent="0.2">
      <c r="A4" s="193"/>
      <c r="B4" s="30" t="s">
        <v>55</v>
      </c>
      <c r="C4" s="31"/>
      <c r="D4" s="31">
        <v>8782</v>
      </c>
      <c r="E4" s="31">
        <v>10249</v>
      </c>
      <c r="F4" s="31">
        <v>11646</v>
      </c>
      <c r="G4" s="31">
        <v>12968</v>
      </c>
      <c r="H4" s="31">
        <v>13591</v>
      </c>
      <c r="I4" s="31">
        <v>17154</v>
      </c>
      <c r="J4" s="31">
        <v>14039</v>
      </c>
      <c r="K4" s="31">
        <v>9379</v>
      </c>
      <c r="L4" s="31">
        <v>7917</v>
      </c>
      <c r="M4" s="31">
        <v>8367</v>
      </c>
      <c r="N4" s="31">
        <v>9069</v>
      </c>
      <c r="O4" s="29">
        <f t="shared" si="0"/>
        <v>3.2680482805739014E-2</v>
      </c>
      <c r="P4" s="29">
        <f t="shared" si="1"/>
        <v>-0.35401381864805187</v>
      </c>
    </row>
    <row r="5" spans="1:17" ht="18" customHeight="1" x14ac:dyDescent="0.2">
      <c r="A5" s="193"/>
      <c r="B5" s="30" t="s">
        <v>56</v>
      </c>
      <c r="C5" s="31"/>
      <c r="D5" s="31">
        <v>2507</v>
      </c>
      <c r="E5" s="31">
        <v>3040</v>
      </c>
      <c r="F5" s="31">
        <v>3701</v>
      </c>
      <c r="G5" s="31">
        <v>4108</v>
      </c>
      <c r="H5" s="31">
        <v>4148</v>
      </c>
      <c r="I5" s="31">
        <v>5065</v>
      </c>
      <c r="J5" s="31">
        <v>4123</v>
      </c>
      <c r="K5" s="31">
        <v>2696</v>
      </c>
      <c r="L5" s="31">
        <v>2156</v>
      </c>
      <c r="M5" s="31">
        <v>2256</v>
      </c>
      <c r="N5" s="31">
        <v>2608</v>
      </c>
      <c r="O5" s="29">
        <f t="shared" si="0"/>
        <v>4.0287195851615477E-2</v>
      </c>
      <c r="P5" s="29">
        <f t="shared" si="1"/>
        <v>-0.36745088527771042</v>
      </c>
      <c r="Q5" s="32"/>
    </row>
    <row r="6" spans="1:17" ht="18" customHeight="1" x14ac:dyDescent="0.2">
      <c r="A6" s="193"/>
      <c r="B6" s="30" t="s">
        <v>57</v>
      </c>
      <c r="C6" s="31"/>
      <c r="D6" s="31">
        <v>7165.46923828125</v>
      </c>
      <c r="E6" s="31">
        <v>8270.3076171875</v>
      </c>
      <c r="F6" s="31">
        <v>9500.9033203125</v>
      </c>
      <c r="G6" s="31">
        <v>10515.3408203125</v>
      </c>
      <c r="H6" s="31">
        <v>10742.0625</v>
      </c>
      <c r="I6" s="31">
        <v>13476.986328125</v>
      </c>
      <c r="J6" s="31">
        <v>11099.00390625</v>
      </c>
      <c r="K6" s="31">
        <v>7440.76318359375</v>
      </c>
      <c r="L6" s="31">
        <v>6204.09228515625</v>
      </c>
      <c r="M6" s="31">
        <v>6593.6572265625</v>
      </c>
      <c r="N6" s="31">
        <v>7184.849609375</v>
      </c>
      <c r="O6" s="29">
        <f t="shared" si="0"/>
        <v>2.7046897347923981E-3</v>
      </c>
      <c r="P6" s="29">
        <f t="shared" si="1"/>
        <v>-0.35265816013190937</v>
      </c>
    </row>
    <row r="7" spans="1:17" ht="18" customHeight="1" x14ac:dyDescent="0.2">
      <c r="A7" s="193"/>
      <c r="B7" s="30" t="s">
        <v>58</v>
      </c>
      <c r="C7" s="31"/>
      <c r="D7" s="31">
        <v>4173.0224609375</v>
      </c>
      <c r="E7" s="31">
        <v>5670.25732421875</v>
      </c>
      <c r="F7" s="31">
        <v>5625.6298828125</v>
      </c>
      <c r="G7" s="31">
        <v>6562.93017578125</v>
      </c>
      <c r="H7" s="31">
        <v>5542.46044921875</v>
      </c>
      <c r="I7" s="31">
        <v>8657.26953125</v>
      </c>
      <c r="J7" s="31">
        <v>6360.87548828125</v>
      </c>
      <c r="K7" s="31">
        <v>3020.4375</v>
      </c>
      <c r="L7" s="31">
        <v>3612.26513671875</v>
      </c>
      <c r="M7" s="31">
        <v>2671.04248046875</v>
      </c>
      <c r="N7" s="31">
        <v>3461.04443359375</v>
      </c>
      <c r="O7" s="29">
        <f t="shared" si="0"/>
        <v>-0.17061447284513273</v>
      </c>
      <c r="P7" s="29">
        <f t="shared" si="1"/>
        <v>-0.45588552393926096</v>
      </c>
    </row>
    <row r="8" spans="1:17" ht="18" customHeight="1" x14ac:dyDescent="0.2">
      <c r="A8" s="193"/>
      <c r="B8" s="30" t="s">
        <v>59</v>
      </c>
      <c r="C8" s="33"/>
      <c r="D8" s="33">
        <f ca="1">11.140348*OFFSET(D$112,MATCH($N$1,$C$112:$C$113,0)-1,0)</f>
        <v>11.140347999999999</v>
      </c>
      <c r="E8" s="33">
        <f ca="1">14.051527*OFFSET(E$112,MATCH($N$1,$C$112:$C$113,0)-1,0)</f>
        <v>14.051527</v>
      </c>
      <c r="F8" s="33">
        <f ca="1">14.072767*OFFSET(F$112,MATCH($N$1,$C$112:$C$113,0)-1,0)</f>
        <v>14.072767000000001</v>
      </c>
      <c r="G8" s="33">
        <f ca="1">15.924355*OFFSET(G$112,MATCH($N$1,$C$112:$C$113,0)-1,0)</f>
        <v>15.924355</v>
      </c>
      <c r="H8" s="33">
        <f ca="1">14.478902*OFFSET(H$112,MATCH($N$1,$C$112:$C$113,0)-1,0)</f>
        <v>14.478902</v>
      </c>
      <c r="I8" s="33">
        <f ca="1">20.609262*OFFSET(I$112,MATCH($N$1,$C$112:$C$113,0)-1,0)</f>
        <v>20.609262000000001</v>
      </c>
      <c r="J8" s="33">
        <f ca="1">15.599044*OFFSET(J$112,MATCH($N$1,$C$112:$C$113,0)-1,0)</f>
        <v>15.599043999999999</v>
      </c>
      <c r="K8" s="33">
        <f ca="1">9.461935*OFFSET(K$112,MATCH($N$1,$C$112:$C$113,0)-1,0)</f>
        <v>9.4619350000000004</v>
      </c>
      <c r="L8" s="33">
        <f ca="1">10.334846*OFFSET(L$112,MATCH($N$1,$C$112:$C$113,0)-1,0)</f>
        <v>10.334846000000001</v>
      </c>
      <c r="M8" s="33">
        <f ca="1">5.2953875*OFFSET(M$112,MATCH($N$1,$C$112:$C$113,0)-1,0)</f>
        <v>5.2953875000000004</v>
      </c>
      <c r="N8" s="33">
        <v>7.4499794999999995</v>
      </c>
      <c r="O8" s="29">
        <f t="shared" ca="1" si="0"/>
        <v>-0.3312615099636026</v>
      </c>
      <c r="P8" s="29">
        <f t="shared" ca="1" si="1"/>
        <v>-0.52240794371757659</v>
      </c>
    </row>
    <row r="9" spans="1:17" ht="18" customHeight="1" x14ac:dyDescent="0.2">
      <c r="A9" s="193"/>
      <c r="B9" s="30" t="s">
        <v>60</v>
      </c>
      <c r="C9" s="31"/>
      <c r="D9" s="31">
        <v>5142</v>
      </c>
      <c r="E9" s="31">
        <v>5818</v>
      </c>
      <c r="F9" s="31">
        <v>6906</v>
      </c>
      <c r="G9" s="31">
        <v>7637</v>
      </c>
      <c r="H9" s="31">
        <v>7159</v>
      </c>
      <c r="I9" s="31">
        <v>9431</v>
      </c>
      <c r="J9" s="31">
        <v>7661</v>
      </c>
      <c r="K9" s="31">
        <v>5256</v>
      </c>
      <c r="L9" s="31">
        <v>4438</v>
      </c>
      <c r="M9" s="31">
        <v>3821</v>
      </c>
      <c r="N9" s="31">
        <v>4547</v>
      </c>
      <c r="O9" s="29">
        <f t="shared" si="0"/>
        <v>-0.11571373006612214</v>
      </c>
      <c r="P9" s="29">
        <f t="shared" si="1"/>
        <v>-0.40647435060697035</v>
      </c>
    </row>
    <row r="10" spans="1:17" ht="18" customHeight="1" x14ac:dyDescent="0.2">
      <c r="A10" s="193"/>
      <c r="B10" s="30" t="s">
        <v>61</v>
      </c>
      <c r="C10" s="31"/>
      <c r="D10" s="31">
        <v>172.15676879882813</v>
      </c>
      <c r="E10" s="31">
        <v>191.24333190917969</v>
      </c>
      <c r="F10" s="31">
        <v>291.27517700195313</v>
      </c>
      <c r="G10" s="31">
        <v>183.68655395507813</v>
      </c>
      <c r="H10" s="31">
        <v>317.75537109375</v>
      </c>
      <c r="I10" s="31">
        <v>317.70004272460938</v>
      </c>
      <c r="J10" s="31">
        <v>236.76214599609375</v>
      </c>
      <c r="K10" s="31">
        <v>177.88883972167969</v>
      </c>
      <c r="L10" s="31">
        <v>154.67640686035156</v>
      </c>
      <c r="M10" s="31">
        <v>114.90436553955078</v>
      </c>
      <c r="N10" s="31">
        <v>138.73623657226563</v>
      </c>
      <c r="O10" s="34">
        <f t="shared" si="0"/>
        <v>-0.19412848219529313</v>
      </c>
      <c r="P10" s="34">
        <f t="shared" si="1"/>
        <v>-0.41402695102047865</v>
      </c>
    </row>
    <row r="11" spans="1:17" ht="18" customHeight="1" x14ac:dyDescent="0.2">
      <c r="A11" s="194" t="s">
        <v>27</v>
      </c>
      <c r="B11" s="35" t="s">
        <v>62</v>
      </c>
      <c r="C11" s="36"/>
      <c r="D11" s="36">
        <v>18.241378784179688</v>
      </c>
      <c r="E11" s="36">
        <v>18.539688110351563</v>
      </c>
      <c r="F11" s="36">
        <v>18.221622467041016</v>
      </c>
      <c r="G11" s="36">
        <v>18.362749099731445</v>
      </c>
      <c r="H11" s="36">
        <v>18.181951522827148</v>
      </c>
      <c r="I11" s="36">
        <v>18.203332901000977</v>
      </c>
      <c r="J11" s="36">
        <v>18.056047439575195</v>
      </c>
      <c r="K11" s="36">
        <v>17.590000152587891</v>
      </c>
      <c r="L11" s="36">
        <v>17.521999359130859</v>
      </c>
      <c r="M11" s="36">
        <v>17.590370178222656</v>
      </c>
      <c r="N11" s="36">
        <v>17.549655914306641</v>
      </c>
      <c r="O11" s="29">
        <f t="shared" si="0"/>
        <v>-3.7920536493269992E-2</v>
      </c>
      <c r="P11" s="29">
        <f t="shared" si="1"/>
        <v>-2.8045535821901262E-2</v>
      </c>
    </row>
    <row r="12" spans="1:17" ht="18" customHeight="1" x14ac:dyDescent="0.2">
      <c r="A12" s="195"/>
      <c r="B12" s="37" t="s">
        <v>55</v>
      </c>
      <c r="C12" s="31"/>
      <c r="D12" s="31">
        <v>302.82757568359375</v>
      </c>
      <c r="E12" s="31">
        <v>320.28125</v>
      </c>
      <c r="F12" s="31">
        <v>314.75674438476563</v>
      </c>
      <c r="G12" s="31">
        <v>324.20001220703125</v>
      </c>
      <c r="H12" s="31">
        <v>331.48779296875</v>
      </c>
      <c r="I12" s="31">
        <v>336.35293579101563</v>
      </c>
      <c r="J12" s="31">
        <v>326.48837280273438</v>
      </c>
      <c r="K12" s="31">
        <v>312.63333129882813</v>
      </c>
      <c r="L12" s="31">
        <v>316.67999267578125</v>
      </c>
      <c r="M12" s="31">
        <v>309.88888549804688</v>
      </c>
      <c r="N12" s="31">
        <v>312.72415161132813</v>
      </c>
      <c r="O12" s="29">
        <f t="shared" si="0"/>
        <v>3.2680563866728934E-2</v>
      </c>
      <c r="P12" s="29">
        <f t="shared" si="1"/>
        <v>-4.2158380934817087E-2</v>
      </c>
    </row>
    <row r="13" spans="1:17" ht="18" customHeight="1" x14ac:dyDescent="0.2">
      <c r="A13" s="195"/>
      <c r="B13" s="37" t="s">
        <v>56</v>
      </c>
      <c r="C13" s="31"/>
      <c r="D13" s="31">
        <v>86.448272705078125</v>
      </c>
      <c r="E13" s="31">
        <v>95</v>
      </c>
      <c r="F13" s="31">
        <v>100.02702331542969</v>
      </c>
      <c r="G13" s="31">
        <v>102.69999694824219</v>
      </c>
      <c r="H13" s="31">
        <v>101.17073059082031</v>
      </c>
      <c r="I13" s="31">
        <v>99.313728332519531</v>
      </c>
      <c r="J13" s="31">
        <v>95.883720397949219</v>
      </c>
      <c r="K13" s="31">
        <v>89.866668701171875</v>
      </c>
      <c r="L13" s="31">
        <v>86.239997863769531</v>
      </c>
      <c r="M13" s="31">
        <v>83.555557250976563</v>
      </c>
      <c r="N13" s="31">
        <v>89.931037902832031</v>
      </c>
      <c r="O13" s="29">
        <f t="shared" si="0"/>
        <v>4.0287273403778745E-2</v>
      </c>
      <c r="P13" s="29">
        <f t="shared" si="1"/>
        <v>-6.2082306260245038E-2</v>
      </c>
    </row>
    <row r="14" spans="1:17" ht="18" customHeight="1" x14ac:dyDescent="0.2">
      <c r="A14" s="195"/>
      <c r="B14" s="37" t="s">
        <v>57</v>
      </c>
      <c r="C14" s="31"/>
      <c r="D14" s="31">
        <v>247.08515930175781</v>
      </c>
      <c r="E14" s="31">
        <v>258.44711303710938</v>
      </c>
      <c r="F14" s="31">
        <v>256.78115844726563</v>
      </c>
      <c r="G14" s="31">
        <v>262.88351440429688</v>
      </c>
      <c r="H14" s="31">
        <v>262.00152587890625</v>
      </c>
      <c r="I14" s="31">
        <v>264.254638671875</v>
      </c>
      <c r="J14" s="31">
        <v>258.11639404296875</v>
      </c>
      <c r="K14" s="31">
        <v>248.02545166015625</v>
      </c>
      <c r="L14" s="31">
        <v>248.1636962890625</v>
      </c>
      <c r="M14" s="31">
        <v>244.20951843261719</v>
      </c>
      <c r="N14" s="31">
        <v>247.75343322753906</v>
      </c>
      <c r="O14" s="29">
        <f t="shared" si="0"/>
        <v>2.7046299651089394E-3</v>
      </c>
      <c r="P14" s="29">
        <f t="shared" si="1"/>
        <v>-4.0148402250283106E-2</v>
      </c>
    </row>
    <row r="15" spans="1:17" ht="18" customHeight="1" x14ac:dyDescent="0.2">
      <c r="A15" s="195"/>
      <c r="B15" s="37" t="s">
        <v>58</v>
      </c>
      <c r="C15" s="33"/>
      <c r="D15" s="33">
        <v>143.89732360839844</v>
      </c>
      <c r="E15" s="33">
        <v>177.19554138183594</v>
      </c>
      <c r="F15" s="33">
        <v>152.04405212402344</v>
      </c>
      <c r="G15" s="33">
        <v>164.07325744628906</v>
      </c>
      <c r="H15" s="33">
        <v>135.18196105957031</v>
      </c>
      <c r="I15" s="33">
        <v>169.75038146972656</v>
      </c>
      <c r="J15" s="33">
        <v>147.92733764648438</v>
      </c>
      <c r="K15" s="33">
        <v>100.68124389648438</v>
      </c>
      <c r="L15" s="33">
        <v>144.4906005859375</v>
      </c>
      <c r="M15" s="33">
        <v>98.927497863769531</v>
      </c>
      <c r="N15" s="33">
        <v>119.34635925292969</v>
      </c>
      <c r="O15" s="29">
        <f t="shared" si="0"/>
        <v>-0.17061446133829172</v>
      </c>
      <c r="P15" s="29">
        <f t="shared" si="1"/>
        <v>-0.1932095774065595</v>
      </c>
    </row>
    <row r="16" spans="1:17" ht="18" customHeight="1" x14ac:dyDescent="0.2">
      <c r="A16" s="195"/>
      <c r="B16" s="37" t="s">
        <v>63</v>
      </c>
      <c r="C16" s="33"/>
      <c r="D16" s="33">
        <f ca="1">384.1499375*OFFSET(D$112,MATCH($N$1,$C$112:$C$113,0)-1,0)</f>
        <v>384.14993750000002</v>
      </c>
      <c r="E16" s="33">
        <f ca="1">439.11021875*OFFSET(E$112,MATCH($N$1,$C$112:$C$113,0)-1,0)</f>
        <v>439.11021875</v>
      </c>
      <c r="F16" s="33">
        <f ca="1">380.3450625*OFFSET(F$112,MATCH($N$1,$C$112:$C$113,0)-1,0)</f>
        <v>380.34506249999998</v>
      </c>
      <c r="G16" s="33">
        <f ca="1">398.108875*OFFSET(G$112,MATCH($N$1,$C$112:$C$113,0)-1,0)</f>
        <v>398.10887500000001</v>
      </c>
      <c r="H16" s="33">
        <f ca="1">353.14396875*OFFSET(H$112,MATCH($N$1,$C$112:$C$113,0)-1,0)</f>
        <v>353.14396875</v>
      </c>
      <c r="I16" s="33">
        <f ca="1">404.1031875*OFFSET(I$112,MATCH($N$1,$C$112:$C$113,0)-1,0)</f>
        <v>404.10318749999999</v>
      </c>
      <c r="J16" s="33">
        <f ca="1">362.76846875*OFFSET(J$112,MATCH($N$1,$C$112:$C$113,0)-1,0)</f>
        <v>362.76846875000001</v>
      </c>
      <c r="K16" s="33">
        <f ca="1">315.39784375*OFFSET(K$112,MATCH($N$1,$C$112:$C$113,0)-1,0)</f>
        <v>315.39784374999999</v>
      </c>
      <c r="L16" s="33">
        <f ca="1">413.39384375*OFFSET(L$112,MATCH($N$1,$C$112:$C$113,0)-1,0)</f>
        <v>413.39384374999997</v>
      </c>
      <c r="M16" s="33">
        <f ca="1">196.12546875*OFFSET(M$112,MATCH($N$1,$C$112:$C$113,0)-1,0)</f>
        <v>196.12546875000001</v>
      </c>
      <c r="N16" s="33">
        <v>256.89584374999998</v>
      </c>
      <c r="O16" s="29">
        <f t="shared" ca="1" si="0"/>
        <v>-0.33126152402406683</v>
      </c>
      <c r="P16" s="29">
        <f t="shared" ca="1" si="1"/>
        <v>-0.29184627143810998</v>
      </c>
    </row>
    <row r="17" spans="1:16" ht="18" customHeight="1" x14ac:dyDescent="0.2">
      <c r="A17" s="195"/>
      <c r="B17" s="37" t="s">
        <v>60</v>
      </c>
      <c r="C17" s="31"/>
      <c r="D17" s="31">
        <v>177.31034851074219</v>
      </c>
      <c r="E17" s="31">
        <v>181.8125</v>
      </c>
      <c r="F17" s="31">
        <v>186.64865112304688</v>
      </c>
      <c r="G17" s="31">
        <v>190.92500305175781</v>
      </c>
      <c r="H17" s="31">
        <v>174.60975646972656</v>
      </c>
      <c r="I17" s="31">
        <v>184.92156982421875</v>
      </c>
      <c r="J17" s="31">
        <v>178.16279602050781</v>
      </c>
      <c r="K17" s="31">
        <v>175.19999694824219</v>
      </c>
      <c r="L17" s="31">
        <v>177.52000427246094</v>
      </c>
      <c r="M17" s="31">
        <v>141.51852416992188</v>
      </c>
      <c r="N17" s="31">
        <v>156.79310607910156</v>
      </c>
      <c r="O17" s="29">
        <f t="shared" si="0"/>
        <v>-0.11571373359743639</v>
      </c>
      <c r="P17" s="29">
        <f t="shared" si="1"/>
        <v>-0.1199447382883823</v>
      </c>
    </row>
    <row r="18" spans="1:16" ht="18" customHeight="1" x14ac:dyDescent="0.2">
      <c r="A18" s="195"/>
      <c r="B18" s="37" t="s">
        <v>64</v>
      </c>
      <c r="C18" s="31"/>
      <c r="D18" s="31">
        <v>33</v>
      </c>
      <c r="E18" s="31">
        <v>33.21875</v>
      </c>
      <c r="F18" s="31">
        <v>31.45945930480957</v>
      </c>
      <c r="G18" s="31">
        <v>31.100000381469727</v>
      </c>
      <c r="H18" s="31">
        <v>32.365852355957031</v>
      </c>
      <c r="I18" s="31">
        <v>32.215686798095703</v>
      </c>
      <c r="J18" s="31">
        <v>35.162792205810547</v>
      </c>
      <c r="K18" s="31">
        <v>36.366664886474609</v>
      </c>
      <c r="L18" s="31">
        <v>38.319999694824219</v>
      </c>
      <c r="M18" s="31">
        <v>40.111110687255859</v>
      </c>
      <c r="N18" s="31">
        <v>39.103446960449219</v>
      </c>
      <c r="O18" s="29">
        <f t="shared" si="0"/>
        <v>0.18495293819543088</v>
      </c>
      <c r="P18" s="29">
        <f t="shared" si="1"/>
        <v>0.1120688804112516</v>
      </c>
    </row>
    <row r="19" spans="1:16" ht="18" customHeight="1" x14ac:dyDescent="0.2">
      <c r="A19" s="195"/>
      <c r="B19" s="37" t="s">
        <v>65</v>
      </c>
      <c r="C19" s="38"/>
      <c r="D19" s="38">
        <v>0.81155627965927124</v>
      </c>
      <c r="E19" s="38">
        <v>0.97460591793060303</v>
      </c>
      <c r="F19" s="38">
        <v>0.81460034847259521</v>
      </c>
      <c r="G19" s="38">
        <v>0.8593597412109375</v>
      </c>
      <c r="H19" s="38">
        <v>0.77419477701187134</v>
      </c>
      <c r="I19" s="38">
        <v>0.91795879602432251</v>
      </c>
      <c r="J19" s="38">
        <v>0.83029305934906006</v>
      </c>
      <c r="K19" s="38">
        <v>0.5746646523475647</v>
      </c>
      <c r="L19" s="38">
        <v>0.81393980979919434</v>
      </c>
      <c r="M19" s="38">
        <v>0.69904273748397827</v>
      </c>
      <c r="N19" s="38">
        <v>0.76117098331451416</v>
      </c>
      <c r="O19" s="29">
        <f t="shared" si="0"/>
        <v>-6.208478402250938E-2</v>
      </c>
      <c r="P19" s="29">
        <f t="shared" si="1"/>
        <v>-8.3250215398327901E-2</v>
      </c>
    </row>
    <row r="20" spans="1:16" ht="18" customHeight="1" x14ac:dyDescent="0.2">
      <c r="A20" s="196"/>
      <c r="B20" s="39" t="s">
        <v>28</v>
      </c>
      <c r="C20" s="40"/>
      <c r="D20" s="40">
        <f ca="1">2670*OFFSET(D$112,MATCH($N$1,$C$112:$C$113,0)-1,0)</f>
        <v>2670</v>
      </c>
      <c r="E20" s="40">
        <f ca="1">2478*OFFSET(E$112,MATCH($N$1,$C$112:$C$113,0)-1,0)</f>
        <v>2478</v>
      </c>
      <c r="F20" s="40">
        <f ca="1">2502*OFFSET(F$112,MATCH($N$1,$C$112:$C$113,0)-1,0)</f>
        <v>2502</v>
      </c>
      <c r="G20" s="40">
        <f ca="1">2426*OFFSET(G$112,MATCH($N$1,$C$112:$C$113,0)-1,0)</f>
        <v>2426</v>
      </c>
      <c r="H20" s="40">
        <f ca="1">2612*OFFSET(H$112,MATCH($N$1,$C$112:$C$113,0)-1,0)</f>
        <v>2612</v>
      </c>
      <c r="I20" s="40">
        <f ca="1">2381*OFFSET(I$112,MATCH($N$1,$C$112:$C$113,0)-1,0)</f>
        <v>2381</v>
      </c>
      <c r="J20" s="40">
        <f ca="1">2452*OFFSET(J$112,MATCH($N$1,$C$112:$C$113,0)-1,0)</f>
        <v>2452</v>
      </c>
      <c r="K20" s="40">
        <f ca="1">3133*OFFSET(K$112,MATCH($N$1,$C$112:$C$113,0)-1,0)</f>
        <v>3133</v>
      </c>
      <c r="L20" s="40">
        <f ca="1">2861*OFFSET(L$112,MATCH($N$1,$C$112:$C$113,0)-1,0)</f>
        <v>2861</v>
      </c>
      <c r="M20" s="40">
        <f ca="1">1983*OFFSET(M$112,MATCH($N$1,$C$112:$C$113,0)-1,0)</f>
        <v>1983</v>
      </c>
      <c r="N20" s="40">
        <v>2153</v>
      </c>
      <c r="O20" s="34">
        <f t="shared" ca="1" si="0"/>
        <v>-0.19363295880149814</v>
      </c>
      <c r="P20" s="34">
        <f t="shared" ca="1" si="1"/>
        <v>-0.12194127243066884</v>
      </c>
    </row>
    <row r="21" spans="1:16" ht="18" customHeight="1" x14ac:dyDescent="0.2">
      <c r="A21" s="197" t="s">
        <v>29</v>
      </c>
      <c r="B21" s="35" t="s">
        <v>66</v>
      </c>
      <c r="C21" s="41"/>
      <c r="D21" s="41">
        <v>2.6858696515414779</v>
      </c>
      <c r="E21" s="41">
        <v>2.9922154868455353</v>
      </c>
      <c r="F21" s="41">
        <v>2.5581684467125867</v>
      </c>
      <c r="G21" s="41">
        <v>2.6258873452062752</v>
      </c>
      <c r="H21" s="41">
        <v>2.2740631791526993</v>
      </c>
      <c r="I21" s="41">
        <v>2.7163436092090691</v>
      </c>
      <c r="J21" s="41">
        <v>2.5478683877913251</v>
      </c>
      <c r="K21" s="41">
        <v>1.8524710411230856</v>
      </c>
      <c r="L21" s="41">
        <v>2.530334505139392</v>
      </c>
      <c r="M21" s="41">
        <v>2.2726202738731365</v>
      </c>
      <c r="N21" s="41">
        <v>2.4629507788814813</v>
      </c>
      <c r="O21" s="29">
        <f t="shared" si="0"/>
        <v>-8.2996906619075411E-2</v>
      </c>
      <c r="P21" s="29">
        <f t="shared" si="1"/>
        <v>-3.3328883594123344E-2</v>
      </c>
    </row>
    <row r="22" spans="1:16" ht="18" customHeight="1" x14ac:dyDescent="0.2">
      <c r="A22" s="197"/>
      <c r="B22" s="37" t="s">
        <v>67</v>
      </c>
      <c r="C22" s="38"/>
      <c r="D22" s="38">
        <f ca="1">7.17022827735614*OFFSET(D$112,MATCH($N$1,$C$112:$C$113,0)-1,0)</f>
        <v>7.1702282773561397</v>
      </c>
      <c r="E22" s="38">
        <f ca="1">7.41504208700461*OFFSET(E$112,MATCH($N$1,$C$112:$C$113,0)-1,0)</f>
        <v>7.4150420870046103</v>
      </c>
      <c r="F22" s="38">
        <f ca="1">6.39937389301329*OFFSET(F$112,MATCH($N$1,$C$112:$C$113,0)-1,0)</f>
        <v>6.3993738930132897</v>
      </c>
      <c r="G22" s="38">
        <f ca="1">6.37147743116531*OFFSET(G$112,MATCH($N$1,$C$112:$C$113,0)-1,0)</f>
        <v>6.3714774311653102</v>
      </c>
      <c r="H22" s="38">
        <f ca="1">5.94067203922525*OFFSET(H$112,MATCH($N$1,$C$112:$C$113,0)-1,0)</f>
        <v>5.9406720392252499</v>
      </c>
      <c r="I22" s="38">
        <f ca="1">6.46645445696628*OFFSET(I$112,MATCH($N$1,$C$112:$C$113,0)-1,0)</f>
        <v>6.4664544569662796</v>
      </c>
      <c r="J22" s="38">
        <f ca="1">6.24824544483078*OFFSET(J$112,MATCH($N$1,$C$112:$C$113,0)-1,0)</f>
        <v>6.24824544483078</v>
      </c>
      <c r="K22" s="38">
        <f ca="1">5.80312031683133*OFFSET(K$112,MATCH($N$1,$C$112:$C$113,0)-1,0)</f>
        <v>5.8031203168313299</v>
      </c>
      <c r="L22" s="38">
        <f ca="1">7.23939621547003*OFFSET(L$112,MATCH($N$1,$C$112:$C$113,0)-1,0)</f>
        <v>7.2393962154700304</v>
      </c>
      <c r="M22" s="38">
        <f ca="1">4.50550884363729*OFFSET(M$112,MATCH($N$1,$C$112:$C$113,0)-1,0)</f>
        <v>4.5055088436372897</v>
      </c>
      <c r="N22" s="38">
        <v>5.3015594477796846</v>
      </c>
      <c r="O22" s="29">
        <f t="shared" ca="1" si="0"/>
        <v>-0.26061497030405351</v>
      </c>
      <c r="P22" s="29">
        <f t="shared" ca="1" si="1"/>
        <v>-0.15151229339658798</v>
      </c>
    </row>
    <row r="23" spans="1:16" ht="18" customHeight="1" x14ac:dyDescent="0.2">
      <c r="A23" s="197"/>
      <c r="B23" s="37" t="s">
        <v>11</v>
      </c>
      <c r="C23" s="38"/>
      <c r="D23" s="38">
        <f ca="1">5.67282608235997*OFFSET(D$112,MATCH($N$1,$C$112:$C$113,0)-1,0)</f>
        <v>5.6728260823599701</v>
      </c>
      <c r="E23" s="38">
        <f ca="1">6.13472693051146*OFFSET(E$112,MATCH($N$1,$C$112:$C$113,0)-1,0)</f>
        <v>6.1347269305114596</v>
      </c>
      <c r="F23" s="38">
        <f ca="1">5.69095095683678*OFFSET(F$112,MATCH($N$1,$C$112:$C$113,0)-1,0)</f>
        <v>5.6909509568367804</v>
      </c>
      <c r="G23" s="38">
        <f ca="1">5.57386930765267*OFFSET(G$112,MATCH($N$1,$C$112:$C$113,0)-1,0)</f>
        <v>5.5738693076526697</v>
      </c>
      <c r="H23" s="38">
        <f ca="1">5.15382930001549*OFFSET(H$112,MATCH($N$1,$C$112:$C$113,0)-1,0)</f>
        <v>5.1538293000154898</v>
      </c>
      <c r="I23" s="38">
        <f ca="1">5.45464016091499*OFFSET(I$112,MATCH($N$1,$C$112:$C$113,0)-1,0)</f>
        <v>5.4546401609149902</v>
      </c>
      <c r="J23" s="38">
        <f ca="1">5.8201875723811*OFFSET(J$112,MATCH($N$1,$C$112:$C$113,0)-1,0)</f>
        <v>5.8201875723810996</v>
      </c>
      <c r="K23" s="38">
        <f ca="1">5.59953839512825*OFFSET(K$112,MATCH($N$1,$C$112:$C$113,0)-1,0)</f>
        <v>5.59953839512825</v>
      </c>
      <c r="L23" s="38">
        <f ca="1">6.30550076752271*OFFSET(L$112,MATCH($N$1,$C$112:$C$113,0)-1,0)</f>
        <v>6.3055007675227097</v>
      </c>
      <c r="M23" s="38">
        <f ca="1">4.62612235880341*OFFSET(M$112,MATCH($N$1,$C$112:$C$113,0)-1,0)</f>
        <v>4.6261223588034097</v>
      </c>
      <c r="N23" s="38">
        <v>5.1292109556027201</v>
      </c>
      <c r="O23" s="29">
        <f t="shared" ca="1" si="0"/>
        <v>-9.582792048704919E-2</v>
      </c>
      <c r="P23" s="29">
        <f t="shared" ca="1" si="1"/>
        <v>-0.11872067836049033</v>
      </c>
    </row>
    <row r="24" spans="1:16" ht="18" customHeight="1" x14ac:dyDescent="0.2">
      <c r="A24" s="197"/>
      <c r="B24" s="37" t="s">
        <v>12</v>
      </c>
      <c r="C24" s="38"/>
      <c r="D24" s="38">
        <f ca="1">1.57131254941078*OFFSET(D$112,MATCH($N$1,$C$112:$C$113,0)-1,0)</f>
        <v>1.57131254941078</v>
      </c>
      <c r="E24" s="38">
        <f ca="1">1.68802292133574*OFFSET(E$112,MATCH($N$1,$C$112:$C$113,0)-1,0)</f>
        <v>1.6880229213357401</v>
      </c>
      <c r="F24" s="38">
        <f ca="1">0.830602714072311*OFFSET(F$112,MATCH($N$1,$C$112:$C$113,0)-1,0)</f>
        <v>0.83060271407231101</v>
      </c>
      <c r="G24" s="38">
        <f ca="1">1.32282705501911*OFFSET(G$112,MATCH($N$1,$C$112:$C$113,0)-1,0)</f>
        <v>1.3228270550191099</v>
      </c>
      <c r="H24" s="38">
        <f ca="1">0.942219816583717*OFFSET(H$112,MATCH($N$1,$C$112:$C$113,0)-1,0)</f>
        <v>0.94221981658371701</v>
      </c>
      <c r="I24" s="38">
        <f ca="1">1.13212841695581*OFFSET(I$112,MATCH($N$1,$C$112:$C$113,0)-1,0)</f>
        <v>1.1321284169558099</v>
      </c>
      <c r="J24" s="38">
        <f ca="1">0.93218424684534*OFFSET(J$112,MATCH($N$1,$C$112:$C$113,0)-1,0)</f>
        <v>0.93218424684533996</v>
      </c>
      <c r="K24" s="38">
        <f ca="1">0.376471580921669*OFFSET(K$112,MATCH($N$1,$C$112:$C$113,0)-1,0)</f>
        <v>0.37647158092166899</v>
      </c>
      <c r="L24" s="38">
        <f ca="1">1.08483841663212*OFFSET(L$112,MATCH($N$1,$C$112:$C$113,0)-1,0)</f>
        <v>1.0848384166321201</v>
      </c>
      <c r="M24" s="38">
        <f ca="1">0.433719562896333*OFFSET(M$112,MATCH($N$1,$C$112:$C$113,0)-1,0)</f>
        <v>0.43371956289633301</v>
      </c>
      <c r="N24" s="38">
        <v>0.41951122717273748</v>
      </c>
      <c r="O24" s="29">
        <f t="shared" ca="1" si="0"/>
        <v>-0.73301859815855974</v>
      </c>
      <c r="P24" s="29">
        <f t="shared" ca="1" si="1"/>
        <v>-0.549969623931717</v>
      </c>
    </row>
    <row r="25" spans="1:16" ht="18" customHeight="1" x14ac:dyDescent="0.2">
      <c r="A25" s="197"/>
      <c r="B25" s="37" t="s">
        <v>68</v>
      </c>
      <c r="C25" s="33"/>
      <c r="D25" s="33">
        <f ca="1">64.7*OFFSET(D$112,MATCH($N$1,$C$112:$C$113,0)-1,0)</f>
        <v>64.7</v>
      </c>
      <c r="E25" s="33">
        <f ca="1">73.47*OFFSET(E$112,MATCH($N$1,$C$112:$C$113,0)-1,0)</f>
        <v>73.47</v>
      </c>
      <c r="F25" s="33">
        <f ca="1">48.31*OFFSET(F$112,MATCH($N$1,$C$112:$C$113,0)-1,0)</f>
        <v>48.31</v>
      </c>
      <c r="G25" s="33">
        <f ca="1">86.69*OFFSET(G$112,MATCH($N$1,$C$112:$C$113,0)-1,0)</f>
        <v>86.69</v>
      </c>
      <c r="H25" s="33">
        <f ca="1">45.56*OFFSET(H$112,MATCH($N$1,$C$112:$C$113,0)-1,0)</f>
        <v>45.56</v>
      </c>
      <c r="I25" s="33">
        <f ca="1">64.87*OFFSET(I$112,MATCH($N$1,$C$112:$C$113,0)-1,0)</f>
        <v>64.87</v>
      </c>
      <c r="J25" s="33">
        <f ca="1">65.89*OFFSET(J$112,MATCH($N$1,$C$112:$C$113,0)-1,0)</f>
        <v>65.89</v>
      </c>
      <c r="K25" s="33">
        <f ca="1">53.19*OFFSET(K$112,MATCH($N$1,$C$112:$C$113,0)-1,0)</f>
        <v>53.19</v>
      </c>
      <c r="L25" s="33">
        <f ca="1">66.82*OFFSET(L$112,MATCH($N$1,$C$112:$C$113,0)-1,0)</f>
        <v>66.819999999999993</v>
      </c>
      <c r="M25" s="33">
        <f ca="1">46.08*OFFSET(M$112,MATCH($N$1,$C$112:$C$113,0)-1,0)</f>
        <v>46.08</v>
      </c>
      <c r="N25" s="33">
        <v>53.7</v>
      </c>
      <c r="O25" s="29">
        <f t="shared" ca="1" si="0"/>
        <v>-0.17001545595054096</v>
      </c>
      <c r="P25" s="29">
        <f t="shared" ca="1" si="1"/>
        <v>-0.18500531188344208</v>
      </c>
    </row>
    <row r="26" spans="1:16" ht="18" customHeight="1" x14ac:dyDescent="0.2">
      <c r="A26" s="198"/>
      <c r="B26" s="37" t="s">
        <v>69</v>
      </c>
      <c r="C26" s="33"/>
      <c r="D26" s="33">
        <f ca="1">14.18*OFFSET(D$112,MATCH($N$1,$C$112:$C$113,0)-1,0)</f>
        <v>14.18</v>
      </c>
      <c r="E26" s="33">
        <f ca="1">16.73*OFFSET(E$112,MATCH($N$1,$C$112:$C$113,0)-1,0)</f>
        <v>16.73</v>
      </c>
      <c r="F26" s="33">
        <f ca="1">6.28*OFFSET(F$112,MATCH($N$1,$C$112:$C$113,0)-1,0)</f>
        <v>6.28</v>
      </c>
      <c r="G26" s="33">
        <f ca="1">18.01*OFFSET(G$112,MATCH($N$1,$C$112:$C$113,0)-1,0)</f>
        <v>18.010000000000002</v>
      </c>
      <c r="H26" s="33">
        <f ca="1">7.23*OFFSET(H$112,MATCH($N$1,$C$112:$C$113,0)-1,0)</f>
        <v>7.23</v>
      </c>
      <c r="I26" s="33">
        <f ca="1">11.35*OFFSET(I$112,MATCH($N$1,$C$112:$C$113,0)-1,0)</f>
        <v>11.35</v>
      </c>
      <c r="J26" s="33">
        <f ca="1">9.83*OFFSET(J$112,MATCH($N$1,$C$112:$C$113,0)-1,0)</f>
        <v>9.83</v>
      </c>
      <c r="K26" s="33">
        <f ca="1">3.46*OFFSET(K$112,MATCH($N$1,$C$112:$C$113,0)-1,0)</f>
        <v>3.46</v>
      </c>
      <c r="L26" s="33">
        <f ca="1">10*OFFSET(L$112,MATCH($N$1,$C$112:$C$113,0)-1,0)</f>
        <v>10</v>
      </c>
      <c r="M26" s="33">
        <f ca="1">4.44*OFFSET(M$112,MATCH($N$1,$C$112:$C$113,0)-1,0)</f>
        <v>4.4400000000000004</v>
      </c>
      <c r="N26" s="33">
        <v>4.24</v>
      </c>
      <c r="O26" s="34">
        <f t="shared" ca="1" si="0"/>
        <v>-0.70098730606488013</v>
      </c>
      <c r="P26" s="34">
        <f t="shared" ca="1" si="1"/>
        <v>-0.56866734486266535</v>
      </c>
    </row>
    <row r="27" spans="1:16" ht="18" customHeight="1" x14ac:dyDescent="0.2">
      <c r="A27" s="187" t="s">
        <v>30</v>
      </c>
      <c r="B27" s="35" t="s">
        <v>63</v>
      </c>
      <c r="C27" s="36"/>
      <c r="D27" s="36">
        <f ca="1">384.1*OFFSET(D$112,MATCH($N$1,$C$112:$C$113,0)-1,0)</f>
        <v>384.1</v>
      </c>
      <c r="E27" s="36">
        <f ca="1">439.1*OFFSET(E$112,MATCH($N$1,$C$112:$C$113,0)-1,0)</f>
        <v>439.1</v>
      </c>
      <c r="F27" s="36">
        <f ca="1">380.3*OFFSET(F$112,MATCH($N$1,$C$112:$C$113,0)-1,0)</f>
        <v>380.3</v>
      </c>
      <c r="G27" s="36">
        <f ca="1">398.1*OFFSET(G$112,MATCH($N$1,$C$112:$C$113,0)-1,0)</f>
        <v>398.1</v>
      </c>
      <c r="H27" s="36">
        <f ca="1">353.1*OFFSET(H$112,MATCH($N$1,$C$112:$C$113,0)-1,0)</f>
        <v>353.1</v>
      </c>
      <c r="I27" s="36">
        <f ca="1">404.1*OFFSET(I$112,MATCH($N$1,$C$112:$C$113,0)-1,0)</f>
        <v>404.1</v>
      </c>
      <c r="J27" s="36">
        <f ca="1">362.8*OFFSET(J$112,MATCH($N$1,$C$112:$C$113,0)-1,0)</f>
        <v>362.8</v>
      </c>
      <c r="K27" s="36">
        <f ca="1">315.4*OFFSET(K$112,MATCH($N$1,$C$112:$C$113,0)-1,0)</f>
        <v>315.39999999999998</v>
      </c>
      <c r="L27" s="36">
        <f ca="1">413.4*OFFSET(L$112,MATCH($N$1,$C$112:$C$113,0)-1,0)</f>
        <v>413.4</v>
      </c>
      <c r="M27" s="36">
        <f ca="1">196.1*OFFSET(M$112,MATCH($N$1,$C$112:$C$113,0)-1,0)</f>
        <v>196.1</v>
      </c>
      <c r="N27" s="36">
        <v>256.89999999999998</v>
      </c>
      <c r="O27" s="29">
        <f t="shared" ca="1" si="0"/>
        <v>-0.33116375943764653</v>
      </c>
      <c r="P27" s="29">
        <f t="shared" ca="1" si="1"/>
        <v>-0.29189636163175314</v>
      </c>
    </row>
    <row r="28" spans="1:16" ht="18" customHeight="1" x14ac:dyDescent="0.2">
      <c r="A28" s="199"/>
      <c r="B28" s="37" t="s">
        <v>70</v>
      </c>
      <c r="C28" s="33"/>
      <c r="D28" s="33">
        <f ca="1">4*OFFSET(D$112,MATCH($N$1,$C$112:$C$113,0)-1,0)</f>
        <v>4</v>
      </c>
      <c r="E28" s="33">
        <f ca="1">24.1*OFFSET(E$112,MATCH($N$1,$C$112:$C$113,0)-1,0)</f>
        <v>24.1</v>
      </c>
      <c r="F28" s="33">
        <f ca="1">7.3*OFFSET(F$112,MATCH($N$1,$C$112:$C$113,0)-1,0)</f>
        <v>7.3</v>
      </c>
      <c r="G28" s="33">
        <f ca="1">32.8*OFFSET(G$112,MATCH($N$1,$C$112:$C$113,0)-1,0)</f>
        <v>32.799999999999997</v>
      </c>
      <c r="H28" s="33">
        <f ca="1">9.2*OFFSET(H$112,MATCH($N$1,$C$112:$C$113,0)-1,0)</f>
        <v>9.1999999999999993</v>
      </c>
      <c r="I28" s="33">
        <f ca="1">7.5*OFFSET(I$112,MATCH($N$1,$C$112:$C$113,0)-1,0)</f>
        <v>7.5</v>
      </c>
      <c r="J28" s="33">
        <f ca="1">29.3*OFFSET(J$112,MATCH($N$1,$C$112:$C$113,0)-1,0)</f>
        <v>29.3</v>
      </c>
      <c r="K28" s="33">
        <f ca="1">9.4*OFFSET(K$112,MATCH($N$1,$C$112:$C$113,0)-1,0)</f>
        <v>9.4</v>
      </c>
      <c r="L28" s="33">
        <f ca="1">8.6*OFFSET(L$112,MATCH($N$1,$C$112:$C$113,0)-1,0)</f>
        <v>8.6</v>
      </c>
      <c r="M28" s="33">
        <f ca="1">24.1*OFFSET(M$112,MATCH($N$1,$C$112:$C$113,0)-1,0)</f>
        <v>24.1</v>
      </c>
      <c r="N28" s="33">
        <v>12</v>
      </c>
      <c r="O28" s="29">
        <f t="shared" ca="1" si="0"/>
        <v>2</v>
      </c>
      <c r="P28" s="29">
        <f t="shared" ca="1" si="1"/>
        <v>-0.59044368600682595</v>
      </c>
    </row>
    <row r="29" spans="1:16" ht="18" customHeight="1" x14ac:dyDescent="0.2">
      <c r="A29" s="199"/>
      <c r="B29" s="42" t="s">
        <v>71</v>
      </c>
      <c r="C29" s="43"/>
      <c r="D29" s="43">
        <f ca="1">388.1*OFFSET(D$112,MATCH($N$1,$C$112:$C$113,0)-1,0)</f>
        <v>388.1</v>
      </c>
      <c r="E29" s="43">
        <f ca="1">463.3*OFFSET(E$112,MATCH($N$1,$C$112:$C$113,0)-1,0)</f>
        <v>463.3</v>
      </c>
      <c r="F29" s="43">
        <f ca="1">387.6*OFFSET(F$112,MATCH($N$1,$C$112:$C$113,0)-1,0)</f>
        <v>387.6</v>
      </c>
      <c r="G29" s="43">
        <f ca="1">430.9*OFFSET(G$112,MATCH($N$1,$C$112:$C$113,0)-1,0)</f>
        <v>430.9</v>
      </c>
      <c r="H29" s="43">
        <f ca="1">362.4*OFFSET(H$112,MATCH($N$1,$C$112:$C$113,0)-1,0)</f>
        <v>362.4</v>
      </c>
      <c r="I29" s="43">
        <f ca="1">411.6*OFFSET(I$112,MATCH($N$1,$C$112:$C$113,0)-1,0)</f>
        <v>411.6</v>
      </c>
      <c r="J29" s="43">
        <f ca="1">392*OFFSET(J$112,MATCH($N$1,$C$112:$C$113,0)-1,0)</f>
        <v>392</v>
      </c>
      <c r="K29" s="43">
        <f ca="1">324.8*OFFSET(K$112,MATCH($N$1,$C$112:$C$113,0)-1,0)</f>
        <v>324.8</v>
      </c>
      <c r="L29" s="43">
        <f ca="1">422*OFFSET(L$112,MATCH($N$1,$C$112:$C$113,0)-1,0)</f>
        <v>422</v>
      </c>
      <c r="M29" s="43">
        <f ca="1">220.3*OFFSET(M$112,MATCH($N$1,$C$112:$C$113,0)-1,0)</f>
        <v>220.3</v>
      </c>
      <c r="N29" s="43">
        <v>268.89999999999998</v>
      </c>
      <c r="O29" s="29">
        <f t="shared" ca="1" si="0"/>
        <v>-0.30713733573821189</v>
      </c>
      <c r="P29" s="29">
        <f t="shared" ca="1" si="1"/>
        <v>-0.31403061224489803</v>
      </c>
    </row>
    <row r="30" spans="1:16" ht="18" customHeight="1" x14ac:dyDescent="0.2">
      <c r="A30" s="199"/>
      <c r="B30" s="37" t="s">
        <v>72</v>
      </c>
      <c r="C30" s="33"/>
      <c r="D30" s="33">
        <f ca="1">90.5*OFFSET(D$112,MATCH($N$1,$C$112:$C$113,0)-1,0)</f>
        <v>90.5</v>
      </c>
      <c r="E30" s="33">
        <f ca="1">95.1*OFFSET(E$112,MATCH($N$1,$C$112:$C$113,0)-1,0)</f>
        <v>95.1</v>
      </c>
      <c r="F30" s="33">
        <f ca="1">93.3*OFFSET(F$112,MATCH($N$1,$C$112:$C$113,0)-1,0)</f>
        <v>93.3</v>
      </c>
      <c r="G30" s="33">
        <f ca="1">86.6*OFFSET(G$112,MATCH($N$1,$C$112:$C$113,0)-1,0)</f>
        <v>86.6</v>
      </c>
      <c r="H30" s="33">
        <f ca="1">55*OFFSET(H$112,MATCH($N$1,$C$112:$C$113,0)-1,0)</f>
        <v>55</v>
      </c>
      <c r="I30" s="33">
        <f ca="1">54.2*OFFSET(I$112,MATCH($N$1,$C$112:$C$113,0)-1,0)</f>
        <v>54.2</v>
      </c>
      <c r="J30" s="33">
        <f ca="1">63.2*OFFSET(J$112,MATCH($N$1,$C$112:$C$113,0)-1,0)</f>
        <v>63.2</v>
      </c>
      <c r="K30" s="33">
        <f ca="1">73.2*OFFSET(K$112,MATCH($N$1,$C$112:$C$113,0)-1,0)</f>
        <v>73.2</v>
      </c>
      <c r="L30" s="33">
        <f ca="1">70.9*OFFSET(L$112,MATCH($N$1,$C$112:$C$113,0)-1,0)</f>
        <v>70.900000000000006</v>
      </c>
      <c r="M30" s="33">
        <f ca="1">40.8*OFFSET(M$112,MATCH($N$1,$C$112:$C$113,0)-1,0)</f>
        <v>40.799999999999997</v>
      </c>
      <c r="N30" s="33">
        <v>55.300000000000004</v>
      </c>
      <c r="O30" s="29">
        <f t="shared" ca="1" si="0"/>
        <v>-0.38895027624309386</v>
      </c>
      <c r="P30" s="29">
        <f t="shared" ca="1" si="1"/>
        <v>-0.12499999999999997</v>
      </c>
    </row>
    <row r="31" spans="1:16" ht="18" customHeight="1" x14ac:dyDescent="0.2">
      <c r="A31" s="199"/>
      <c r="B31" s="37" t="s">
        <v>73</v>
      </c>
      <c r="C31" s="33"/>
      <c r="D31" s="33">
        <f ca="1">73.7*OFFSET(D$112,MATCH($N$1,$C$112:$C$113,0)-1,0)</f>
        <v>73.7</v>
      </c>
      <c r="E31" s="33">
        <f ca="1">102.9*OFFSET(E$112,MATCH($N$1,$C$112:$C$113,0)-1,0)</f>
        <v>102.9</v>
      </c>
      <c r="F31" s="33">
        <f ca="1">88.5*OFFSET(F$112,MATCH($N$1,$C$112:$C$113,0)-1,0)</f>
        <v>88.5</v>
      </c>
      <c r="G31" s="33">
        <f ca="1">105.3*OFFSET(G$112,MATCH($N$1,$C$112:$C$113,0)-1,0)</f>
        <v>105.3</v>
      </c>
      <c r="H31" s="33">
        <f ca="1">101.9*OFFSET(H$112,MATCH($N$1,$C$112:$C$113,0)-1,0)</f>
        <v>101.9</v>
      </c>
      <c r="I31" s="33">
        <f ca="1">128.3*OFFSET(I$112,MATCH($N$1,$C$112:$C$113,0)-1,0)</f>
        <v>128.30000000000001</v>
      </c>
      <c r="J31" s="33">
        <f ca="1">117.1*OFFSET(J$112,MATCH($N$1,$C$112:$C$113,0)-1,0)</f>
        <v>117.1</v>
      </c>
      <c r="K31" s="33">
        <f ca="1">90.2*OFFSET(K$112,MATCH($N$1,$C$112:$C$113,0)-1,0)</f>
        <v>90.2</v>
      </c>
      <c r="L31" s="33">
        <f ca="1">122.9*OFFSET(L$112,MATCH($N$1,$C$112:$C$113,0)-1,0)</f>
        <v>122.9</v>
      </c>
      <c r="M31" s="33">
        <f ca="1">60.4*OFFSET(M$112,MATCH($N$1,$C$112:$C$113,0)-1,0)</f>
        <v>60.4</v>
      </c>
      <c r="N31" s="33">
        <v>78.2</v>
      </c>
      <c r="O31" s="29">
        <f t="shared" ca="1" si="0"/>
        <v>6.1058344640434192E-2</v>
      </c>
      <c r="P31" s="29">
        <f t="shared" ca="1" si="1"/>
        <v>-0.332194705380017</v>
      </c>
    </row>
    <row r="32" spans="1:16" ht="18" customHeight="1" x14ac:dyDescent="0.2">
      <c r="A32" s="199"/>
      <c r="B32" s="37" t="s">
        <v>74</v>
      </c>
      <c r="C32" s="33"/>
      <c r="D32" s="33">
        <f ca="1">51.6*OFFSET(D$112,MATCH($N$1,$C$112:$C$113,0)-1,0)</f>
        <v>51.6</v>
      </c>
      <c r="E32" s="33">
        <f ca="1">61.1*OFFSET(E$112,MATCH($N$1,$C$112:$C$113,0)-1,0)</f>
        <v>61.1</v>
      </c>
      <c r="F32" s="33">
        <f ca="1">61.8*OFFSET(F$112,MATCH($N$1,$C$112:$C$113,0)-1,0)</f>
        <v>61.8</v>
      </c>
      <c r="G32" s="33">
        <f ca="1">61.4*OFFSET(G$112,MATCH($N$1,$C$112:$C$113,0)-1,0)</f>
        <v>61.4</v>
      </c>
      <c r="H32" s="33">
        <f ca="1">59.9*OFFSET(H$112,MATCH($N$1,$C$112:$C$113,0)-1,0)</f>
        <v>59.9</v>
      </c>
      <c r="I32" s="33">
        <f ca="1">63.1*OFFSET(I$112,MATCH($N$1,$C$112:$C$113,0)-1,0)</f>
        <v>63.1</v>
      </c>
      <c r="J32" s="33">
        <f ca="1">56.7*OFFSET(J$112,MATCH($N$1,$C$112:$C$113,0)-1,0)</f>
        <v>56.7</v>
      </c>
      <c r="K32" s="33">
        <f ca="1">37.3*OFFSET(K$112,MATCH($N$1,$C$112:$C$113,0)-1,0)</f>
        <v>37.299999999999997</v>
      </c>
      <c r="L32" s="33">
        <f ca="1">41.8*OFFSET(L$112,MATCH($N$1,$C$112:$C$113,0)-1,0)</f>
        <v>41.8</v>
      </c>
      <c r="M32" s="33">
        <f ca="1">30*OFFSET(M$112,MATCH($N$1,$C$112:$C$113,0)-1,0)</f>
        <v>30</v>
      </c>
      <c r="N32" s="33">
        <v>39.200000000000003</v>
      </c>
      <c r="O32" s="29">
        <f t="shared" ca="1" si="0"/>
        <v>-0.2403100775193798</v>
      </c>
      <c r="P32" s="29">
        <f t="shared" ca="1" si="1"/>
        <v>-0.30864197530864196</v>
      </c>
    </row>
    <row r="33" spans="1:16" ht="18" customHeight="1" x14ac:dyDescent="0.2">
      <c r="A33" s="199"/>
      <c r="B33" s="37" t="s">
        <v>75</v>
      </c>
      <c r="C33" s="33"/>
      <c r="D33" s="33">
        <f ca="1">215.8*OFFSET(D$112,MATCH($N$1,$C$112:$C$113,0)-1,0)</f>
        <v>215.8</v>
      </c>
      <c r="E33" s="33">
        <f ca="1">259.1*OFFSET(E$112,MATCH($N$1,$C$112:$C$113,0)-1,0)</f>
        <v>259.10000000000002</v>
      </c>
      <c r="F33" s="33">
        <f ca="1">243.7*OFFSET(F$112,MATCH($N$1,$C$112:$C$113,0)-1,0)</f>
        <v>243.7</v>
      </c>
      <c r="G33" s="33">
        <f ca="1">253.4*OFFSET(G$112,MATCH($N$1,$C$112:$C$113,0)-1,0)</f>
        <v>253.4</v>
      </c>
      <c r="H33" s="33">
        <f ca="1">216.8*OFFSET(H$112,MATCH($N$1,$C$112:$C$113,0)-1,0)</f>
        <v>216.8</v>
      </c>
      <c r="I33" s="33">
        <f ca="1">245.6*OFFSET(I$112,MATCH($N$1,$C$112:$C$113,0)-1,0)</f>
        <v>245.6</v>
      </c>
      <c r="J33" s="33">
        <f ca="1">237*OFFSET(J$112,MATCH($N$1,$C$112:$C$113,0)-1,0)</f>
        <v>237</v>
      </c>
      <c r="K33" s="33">
        <f ca="1">200.7*OFFSET(K$112,MATCH($N$1,$C$112:$C$113,0)-1,0)</f>
        <v>200.7</v>
      </c>
      <c r="L33" s="33">
        <f ca="1">235.6*OFFSET(L$112,MATCH($N$1,$C$112:$C$113,0)-1,0)</f>
        <v>235.6</v>
      </c>
      <c r="M33" s="33">
        <f ca="1">131.2*OFFSET(M$112,MATCH($N$1,$C$112:$C$113,0)-1,0)</f>
        <v>131.19999999999999</v>
      </c>
      <c r="N33" s="33">
        <v>172.8</v>
      </c>
      <c r="O33" s="29">
        <f t="shared" ca="1" si="0"/>
        <v>-0.19925857275254866</v>
      </c>
      <c r="P33" s="29">
        <f t="shared" ca="1" si="1"/>
        <v>-0.27088607594936703</v>
      </c>
    </row>
    <row r="34" spans="1:16" ht="18" customHeight="1" x14ac:dyDescent="0.2">
      <c r="A34" s="199"/>
      <c r="B34" s="37" t="s">
        <v>76</v>
      </c>
      <c r="C34" s="33"/>
      <c r="D34" s="33">
        <f ca="1">88.1*OFFSET(D$112,MATCH($N$1,$C$112:$C$113,0)-1,0)</f>
        <v>88.1</v>
      </c>
      <c r="E34" s="33">
        <f ca="1">104.2*OFFSET(E$112,MATCH($N$1,$C$112:$C$113,0)-1,0)</f>
        <v>104.2</v>
      </c>
      <c r="F34" s="33">
        <f ca="1">94.6*OFFSET(F$112,MATCH($N$1,$C$112:$C$113,0)-1,0)</f>
        <v>94.6</v>
      </c>
      <c r="G34" s="33">
        <f ca="1">94.9*OFFSET(G$112,MATCH($N$1,$C$112:$C$113,0)-1,0)</f>
        <v>94.9</v>
      </c>
      <c r="H34" s="33">
        <f ca="1">89.6*OFFSET(H$112,MATCH($N$1,$C$112:$C$113,0)-1,0)</f>
        <v>89.6</v>
      </c>
      <c r="I34" s="33">
        <f ca="1">95.2*OFFSET(I$112,MATCH($N$1,$C$112:$C$113,0)-1,0)</f>
        <v>95.2</v>
      </c>
      <c r="J34" s="33">
        <f ca="1">100.9*OFFSET(J$112,MATCH($N$1,$C$112:$C$113,0)-1,0)</f>
        <v>100.9</v>
      </c>
      <c r="K34" s="33">
        <f ca="1">103.6*OFFSET(K$112,MATCH($N$1,$C$112:$C$113,0)-1,0)</f>
        <v>103.6</v>
      </c>
      <c r="L34" s="33">
        <f ca="1">124.4*OFFSET(L$112,MATCH($N$1,$C$112:$C$113,0)-1,0)</f>
        <v>124.4</v>
      </c>
      <c r="M34" s="33">
        <f ca="1">70.2*OFFSET(M$112,MATCH($N$1,$C$112:$C$113,0)-1,0)</f>
        <v>70.2</v>
      </c>
      <c r="N34" s="33">
        <v>75.8</v>
      </c>
      <c r="O34" s="29">
        <f t="shared" ca="1" si="0"/>
        <v>-0.13961407491486943</v>
      </c>
      <c r="P34" s="29">
        <f t="shared" ca="1" si="1"/>
        <v>-0.24876114965312196</v>
      </c>
    </row>
    <row r="35" spans="1:16" ht="18" customHeight="1" x14ac:dyDescent="0.2">
      <c r="A35" s="199"/>
      <c r="B35" s="37" t="s">
        <v>77</v>
      </c>
      <c r="C35" s="33"/>
      <c r="D35" s="33">
        <f ca="1">303.9*OFFSET(D$112,MATCH($N$1,$C$112:$C$113,0)-1,0)</f>
        <v>303.89999999999998</v>
      </c>
      <c r="E35" s="33">
        <f ca="1">363.3*OFFSET(E$112,MATCH($N$1,$C$112:$C$113,0)-1,0)</f>
        <v>363.3</v>
      </c>
      <c r="F35" s="33">
        <f ca="1">338.2*OFFSET(F$112,MATCH($N$1,$C$112:$C$113,0)-1,0)</f>
        <v>338.2</v>
      </c>
      <c r="G35" s="33">
        <f ca="1">348.3*OFFSET(G$112,MATCH($N$1,$C$112:$C$113,0)-1,0)</f>
        <v>348.3</v>
      </c>
      <c r="H35" s="33">
        <f ca="1">306.4*OFFSET(H$112,MATCH($N$1,$C$112:$C$113,0)-1,0)</f>
        <v>306.39999999999998</v>
      </c>
      <c r="I35" s="33">
        <f ca="1">340.9*OFFSET(I$112,MATCH($N$1,$C$112:$C$113,0)-1,0)</f>
        <v>340.9</v>
      </c>
      <c r="J35" s="33">
        <f ca="1">337.9*OFFSET(J$112,MATCH($N$1,$C$112:$C$113,0)-1,0)</f>
        <v>337.9</v>
      </c>
      <c r="K35" s="33">
        <f ca="1">304.3*OFFSET(K$112,MATCH($N$1,$C$112:$C$113,0)-1,0)</f>
        <v>304.3</v>
      </c>
      <c r="L35" s="33">
        <f ca="1">360.1*OFFSET(L$112,MATCH($N$1,$C$112:$C$113,0)-1,0)</f>
        <v>360.1</v>
      </c>
      <c r="M35" s="33">
        <f ca="1">201.4*OFFSET(M$112,MATCH($N$1,$C$112:$C$113,0)-1,0)</f>
        <v>201.4</v>
      </c>
      <c r="N35" s="33">
        <v>248.5</v>
      </c>
      <c r="O35" s="29">
        <f t="shared" ca="1" si="0"/>
        <v>-0.18229680816057908</v>
      </c>
      <c r="P35" s="29">
        <f t="shared" ca="1" si="1"/>
        <v>-0.2645753181414619</v>
      </c>
    </row>
    <row r="36" spans="1:16" ht="18" customHeight="1" x14ac:dyDescent="0.2">
      <c r="A36" s="199"/>
      <c r="B36" s="42" t="s">
        <v>78</v>
      </c>
      <c r="C36" s="43"/>
      <c r="D36" s="43">
        <f ca="1">157.9*OFFSET(D$112,MATCH($N$1,$C$112:$C$113,0)-1,0)</f>
        <v>157.9</v>
      </c>
      <c r="E36" s="43">
        <f ca="1">202.9*OFFSET(E$112,MATCH($N$1,$C$112:$C$113,0)-1,0)</f>
        <v>202.9</v>
      </c>
      <c r="F36" s="43">
        <f ca="1">137.9*OFFSET(F$112,MATCH($N$1,$C$112:$C$113,0)-1,0)</f>
        <v>137.9</v>
      </c>
      <c r="G36" s="43">
        <f ca="1">188*OFFSET(G$112,MATCH($N$1,$C$112:$C$113,0)-1,0)</f>
        <v>188</v>
      </c>
      <c r="H36" s="43">
        <f ca="1">157.9*OFFSET(H$112,MATCH($N$1,$C$112:$C$113,0)-1,0)</f>
        <v>157.9</v>
      </c>
      <c r="I36" s="43">
        <f ca="1">199*OFFSET(I$112,MATCH($N$1,$C$112:$C$113,0)-1,0)</f>
        <v>199</v>
      </c>
      <c r="J36" s="43">
        <f ca="1">171.2*OFFSET(J$112,MATCH($N$1,$C$112:$C$113,0)-1,0)</f>
        <v>171.2</v>
      </c>
      <c r="K36" s="43">
        <f ca="1">110.7*OFFSET(K$112,MATCH($N$1,$C$112:$C$113,0)-1,0)</f>
        <v>110.7</v>
      </c>
      <c r="L36" s="43">
        <f ca="1">184.8*OFFSET(L$112,MATCH($N$1,$C$112:$C$113,0)-1,0)</f>
        <v>184.8</v>
      </c>
      <c r="M36" s="43">
        <f ca="1">79.3*OFFSET(M$112,MATCH($N$1,$C$112:$C$113,0)-1,0)</f>
        <v>79.3</v>
      </c>
      <c r="N36" s="43">
        <v>98.5</v>
      </c>
      <c r="O36" s="29">
        <f t="shared" ca="1" si="0"/>
        <v>-0.37618746041798606</v>
      </c>
      <c r="P36" s="29">
        <f t="shared" ca="1" si="1"/>
        <v>-0.42464953271028033</v>
      </c>
    </row>
    <row r="37" spans="1:16" ht="18" customHeight="1" x14ac:dyDescent="0.2">
      <c r="A37" s="199"/>
      <c r="B37" s="42" t="s">
        <v>79</v>
      </c>
      <c r="C37" s="43"/>
      <c r="D37" s="43">
        <f ca="1">84.2*OFFSET(D$112,MATCH($N$1,$C$112:$C$113,0)-1,0)</f>
        <v>84.2</v>
      </c>
      <c r="E37" s="43">
        <f ca="1">100*OFFSET(E$112,MATCH($N$1,$C$112:$C$113,0)-1,0)</f>
        <v>100</v>
      </c>
      <c r="F37" s="43">
        <f ca="1">49.4*OFFSET(F$112,MATCH($N$1,$C$112:$C$113,0)-1,0)</f>
        <v>49.4</v>
      </c>
      <c r="G37" s="43">
        <f ca="1">82.7*OFFSET(G$112,MATCH($N$1,$C$112:$C$113,0)-1,0)</f>
        <v>82.7</v>
      </c>
      <c r="H37" s="43">
        <f ca="1">56*OFFSET(H$112,MATCH($N$1,$C$112:$C$113,0)-1,0)</f>
        <v>56</v>
      </c>
      <c r="I37" s="43">
        <f ca="1">70.7*OFFSET(I$112,MATCH($N$1,$C$112:$C$113,0)-1,0)</f>
        <v>70.7</v>
      </c>
      <c r="J37" s="43">
        <f ca="1">54.1*OFFSET(J$112,MATCH($N$1,$C$112:$C$113,0)-1,0)</f>
        <v>54.1</v>
      </c>
      <c r="K37" s="43">
        <f ca="1">20.5*OFFSET(K$112,MATCH($N$1,$C$112:$C$113,0)-1,0)</f>
        <v>20.5</v>
      </c>
      <c r="L37" s="43">
        <f ca="1">61.9*OFFSET(L$112,MATCH($N$1,$C$112:$C$113,0)-1,0)</f>
        <v>61.9</v>
      </c>
      <c r="M37" s="43">
        <f ca="1">18.9*OFFSET(M$112,MATCH($N$1,$C$112:$C$113,0)-1,0)</f>
        <v>18.899999999999999</v>
      </c>
      <c r="N37" s="43">
        <v>20.3</v>
      </c>
      <c r="O37" s="29">
        <f t="shared" ca="1" si="0"/>
        <v>-0.75890736342042764</v>
      </c>
      <c r="P37" s="29">
        <f t="shared" ca="1" si="1"/>
        <v>-0.62476894639556368</v>
      </c>
    </row>
    <row r="38" spans="1:16" ht="18" customHeight="1" x14ac:dyDescent="0.2">
      <c r="A38" s="199"/>
      <c r="B38" s="37" t="s">
        <v>80</v>
      </c>
      <c r="C38" s="33"/>
      <c r="D38" s="33">
        <f ca="1">26.6*OFFSET(D$112,MATCH($N$1,$C$112:$C$113,0)-1,0)</f>
        <v>26.6</v>
      </c>
      <c r="E38" s="33">
        <f ca="1">18.5*OFFSET(E$112,MATCH($N$1,$C$112:$C$113,0)-1,0)</f>
        <v>18.5</v>
      </c>
      <c r="F38" s="33">
        <f ca="1">19.3*OFFSET(F$112,MATCH($N$1,$C$112:$C$113,0)-1,0)</f>
        <v>19.3</v>
      </c>
      <c r="G38" s="33">
        <f ca="1">20.1*OFFSET(G$112,MATCH($N$1,$C$112:$C$113,0)-1,0)</f>
        <v>20.100000000000001</v>
      </c>
      <c r="H38" s="33">
        <f ca="1">20*OFFSET(H$112,MATCH($N$1,$C$112:$C$113,0)-1,0)</f>
        <v>20</v>
      </c>
      <c r="I38" s="33">
        <f ca="1">25.4*OFFSET(I$112,MATCH($N$1,$C$112:$C$113,0)-1,0)</f>
        <v>25.4</v>
      </c>
      <c r="J38" s="33">
        <f ca="1">18.8*OFFSET(J$112,MATCH($N$1,$C$112:$C$113,0)-1,0)</f>
        <v>18.8</v>
      </c>
      <c r="K38" s="33">
        <f ca="1">17.6*OFFSET(K$112,MATCH($N$1,$C$112:$C$113,0)-1,0)</f>
        <v>17.600000000000001</v>
      </c>
      <c r="L38" s="33">
        <f ca="1">20.1*OFFSET(L$112,MATCH($N$1,$C$112:$C$113,0)-1,0)</f>
        <v>20.100000000000001</v>
      </c>
      <c r="M38" s="33">
        <f ca="1">13.2*OFFSET(M$112,MATCH($N$1,$C$112:$C$113,0)-1,0)</f>
        <v>13.2</v>
      </c>
      <c r="N38" s="33"/>
      <c r="O38" s="29" t="str">
        <f t="shared" si="0"/>
        <v/>
      </c>
      <c r="P38" s="29" t="str">
        <f t="shared" si="1"/>
        <v/>
      </c>
    </row>
    <row r="39" spans="1:16" ht="18" customHeight="1" x14ac:dyDescent="0.2">
      <c r="A39" s="199"/>
      <c r="B39" s="37" t="s">
        <v>81</v>
      </c>
      <c r="C39" s="33"/>
      <c r="D39" s="33">
        <f ca="1">4.1*OFFSET(D$112,MATCH($N$1,$C$112:$C$113,0)-1,0)</f>
        <v>4.0999999999999996</v>
      </c>
      <c r="E39" s="33">
        <f ca="1">8.9*OFFSET(E$112,MATCH($N$1,$C$112:$C$113,0)-1,0)</f>
        <v>8.9</v>
      </c>
      <c r="F39" s="33">
        <f ca="1">4.6*OFFSET(F$112,MATCH($N$1,$C$112:$C$113,0)-1,0)</f>
        <v>4.5999999999999996</v>
      </c>
      <c r="G39" s="33">
        <f ca="1">4.8*OFFSET(G$112,MATCH($N$1,$C$112:$C$113,0)-1,0)</f>
        <v>4.8</v>
      </c>
      <c r="H39" s="33">
        <f ca="1">4.3*OFFSET(H$112,MATCH($N$1,$C$112:$C$113,0)-1,0)</f>
        <v>4.3</v>
      </c>
      <c r="I39" s="33">
        <f ca="1">4.2*OFFSET(I$112,MATCH($N$1,$C$112:$C$113,0)-1,0)</f>
        <v>4.2</v>
      </c>
      <c r="J39" s="33">
        <f ca="1">2.5*OFFSET(J$112,MATCH($N$1,$C$112:$C$113,0)-1,0)</f>
        <v>2.5</v>
      </c>
      <c r="K39" s="33">
        <f ca="1">1.7*OFFSET(K$112,MATCH($N$1,$C$112:$C$113,0)-1,0)</f>
        <v>1.7</v>
      </c>
      <c r="L39" s="33">
        <f ca="1">3.5*OFFSET(L$112,MATCH($N$1,$C$112:$C$113,0)-1,0)</f>
        <v>3.5</v>
      </c>
      <c r="M39" s="33">
        <f ca="1">3*OFFSET(M$112,MATCH($N$1,$C$112:$C$113,0)-1,0)</f>
        <v>3</v>
      </c>
      <c r="N39" s="33"/>
      <c r="O39" s="29" t="str">
        <f t="shared" si="0"/>
        <v/>
      </c>
      <c r="P39" s="29" t="str">
        <f t="shared" si="1"/>
        <v/>
      </c>
    </row>
    <row r="40" spans="1:16" ht="18" customHeight="1" x14ac:dyDescent="0.2">
      <c r="A40" s="199"/>
      <c r="B40" s="37" t="s">
        <v>82</v>
      </c>
      <c r="C40" s="33"/>
      <c r="D40" s="33">
        <f ca="1">0.2*OFFSET(D$112,MATCH($N$1,$C$112:$C$113,0)-1,0)</f>
        <v>0.2</v>
      </c>
      <c r="E40" s="33">
        <f ca="1">0.7*OFFSET(E$112,MATCH($N$1,$C$112:$C$113,0)-1,0)</f>
        <v>0.7</v>
      </c>
      <c r="F40" s="33">
        <f ca="1">3.3*OFFSET(F$112,MATCH($N$1,$C$112:$C$113,0)-1,0)</f>
        <v>3.3</v>
      </c>
      <c r="G40" s="33">
        <f ca="1">4*OFFSET(G$112,MATCH($N$1,$C$112:$C$113,0)-1,0)</f>
        <v>4</v>
      </c>
      <c r="H40" s="33">
        <f ca="1">3.5*OFFSET(H$112,MATCH($N$1,$C$112:$C$113,0)-1,0)</f>
        <v>3.5</v>
      </c>
      <c r="I40" s="33">
        <f ca="1">1.7*OFFSET(I$112,MATCH($N$1,$C$112:$C$113,0)-1,0)</f>
        <v>1.7</v>
      </c>
      <c r="J40" s="33">
        <f ca="1">1.3*OFFSET(J$112,MATCH($N$1,$C$112:$C$113,0)-1,0)</f>
        <v>1.3</v>
      </c>
      <c r="K40" s="33">
        <f ca="1">4.6*OFFSET(K$112,MATCH($N$1,$C$112:$C$113,0)-1,0)</f>
        <v>4.5999999999999996</v>
      </c>
      <c r="L40" s="33">
        <f ca="1">1.5*OFFSET(L$112,MATCH($N$1,$C$112:$C$113,0)-1,0)</f>
        <v>1.5</v>
      </c>
      <c r="M40" s="33">
        <f ca="1">1.3*OFFSET(M$112,MATCH($N$1,$C$112:$C$113,0)-1,0)</f>
        <v>1.3</v>
      </c>
      <c r="N40" s="33"/>
      <c r="O40" s="29" t="str">
        <f t="shared" si="0"/>
        <v/>
      </c>
      <c r="P40" s="29" t="str">
        <f t="shared" si="1"/>
        <v/>
      </c>
    </row>
    <row r="41" spans="1:16" ht="18" customHeight="1" thickBot="1" x14ac:dyDescent="0.25">
      <c r="A41" s="200"/>
      <c r="B41" s="44" t="s">
        <v>83</v>
      </c>
      <c r="C41" s="45"/>
      <c r="D41" s="45">
        <f ca="1">53.3*OFFSET(D$112,MATCH($N$1,$C$112:$C$113,0)-1,0)</f>
        <v>53.3</v>
      </c>
      <c r="E41" s="45">
        <f ca="1">71.9*OFFSET(E$112,MATCH($N$1,$C$112:$C$113,0)-1,0)</f>
        <v>71.900000000000006</v>
      </c>
      <c r="F41" s="45">
        <f ca="1">22.1*OFFSET(F$112,MATCH($N$1,$C$112:$C$113,0)-1,0)</f>
        <v>22.1</v>
      </c>
      <c r="G41" s="45">
        <f ca="1">53.7*OFFSET(G$112,MATCH($N$1,$C$112:$C$113,0)-1,0)</f>
        <v>53.7</v>
      </c>
      <c r="H41" s="45">
        <f ca="1">28.1*OFFSET(H$112,MATCH($N$1,$C$112:$C$113,0)-1,0)</f>
        <v>28.1</v>
      </c>
      <c r="I41" s="45">
        <f ca="1">39.6*OFFSET(I$112,MATCH($N$1,$C$112:$C$113,0)-1,0)</f>
        <v>39.6</v>
      </c>
      <c r="J41" s="45">
        <f ca="1">31.5*OFFSET(J$112,MATCH($N$1,$C$112:$C$113,0)-1,0)</f>
        <v>31.5</v>
      </c>
      <c r="K41" s="45">
        <f ca="1">-3.3*OFFSET(K$112,MATCH($N$1,$C$112:$C$113,0)-1,0)</f>
        <v>-3.3</v>
      </c>
      <c r="L41" s="45">
        <f ca="1">36.9*OFFSET(L$112,MATCH($N$1,$C$112:$C$113,0)-1,0)</f>
        <v>36.9</v>
      </c>
      <c r="M41" s="45">
        <f ca="1">-13.7*OFFSET(M$112,MATCH($N$1,$C$112:$C$113,0)-1,0)</f>
        <v>-13.7</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22</v>
      </c>
      <c r="F46" s="94" t="s">
        <v>22</v>
      </c>
      <c r="G46" s="94" t="s">
        <v>22</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WOS nephrops over 250kW</v>
      </c>
      <c r="C48" s="96"/>
      <c r="D48" s="96"/>
      <c r="E48" s="96"/>
      <c r="F48" s="96"/>
      <c r="G48" s="96"/>
      <c r="K48" s="96" t="str">
        <f>$B24&amp;CHAR(10)&amp;$A$1</f>
        <v>Operating profit per kW day at sea (£)
WOS nephrops over 250kW</v>
      </c>
    </row>
    <row r="49" spans="1:11" s="82" customFormat="1" x14ac:dyDescent="0.2">
      <c r="A49" s="96" t="str">
        <f>$B22&amp;CHAR(10)&amp;$A$1</f>
        <v>Fishing income per kW day at sea (£)
WOS nephrops over 250kW</v>
      </c>
    </row>
    <row r="50" spans="1:11" s="82" customFormat="1" x14ac:dyDescent="0.2">
      <c r="A50" s="96" t="str">
        <f>$B20&amp;CHAR(10)&amp;$A$1</f>
        <v>Average price per tonne landed (£)
WOS nephrops over 250kW</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WOS nephrops over 250kW</v>
      </c>
      <c r="F62" s="96" t="str">
        <f>$B20&amp;CHAR(10)&amp;$A$1</f>
        <v>Average price per tonne landed (£)
WOS nephrops over 250kW</v>
      </c>
      <c r="K62" s="96" t="str">
        <f>"Average annual operating profit per vessel (£'000)"&amp;CHAR(10)&amp;$A$1</f>
        <v>Average annual operating profit per vessel (£'000)
WOS nephrops over 250kW</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WOS nephrops over 250kW</v>
      </c>
      <c r="F76" s="96" t="str">
        <f>"Top 5 landed species by value in "&amp;A77&amp;CHAR(10)&amp;A1</f>
        <v>Top 5 landed species by value in 2020
WOS nephrops over 250kW</v>
      </c>
    </row>
    <row r="77" spans="1:11" s="96" customFormat="1" x14ac:dyDescent="0.2">
      <c r="A77" s="96">
        <v>2020</v>
      </c>
      <c r="B77" s="96" t="s">
        <v>508</v>
      </c>
      <c r="C77" s="97">
        <v>0.82206663443196393</v>
      </c>
      <c r="D77" s="98">
        <v>12153634</v>
      </c>
      <c r="G77" s="96" t="s">
        <v>132</v>
      </c>
      <c r="H77" s="97">
        <v>0.92326249403603688</v>
      </c>
      <c r="I77" s="98">
        <v>12153634</v>
      </c>
      <c r="K77" s="96" t="s">
        <v>87</v>
      </c>
    </row>
    <row r="78" spans="1:11" s="96" customFormat="1" x14ac:dyDescent="0.2">
      <c r="B78" s="96" t="s">
        <v>509</v>
      </c>
      <c r="C78" s="97">
        <v>0.12296322684608417</v>
      </c>
      <c r="D78" s="98">
        <v>3050596</v>
      </c>
      <c r="G78" s="96" t="s">
        <v>510</v>
      </c>
      <c r="H78" s="97">
        <v>2.0377603200775935E-2</v>
      </c>
      <c r="I78" s="98">
        <v>553960</v>
      </c>
    </row>
    <row r="79" spans="1:11" s="96" customFormat="1" x14ac:dyDescent="0.2">
      <c r="B79" s="96" t="s">
        <v>511</v>
      </c>
      <c r="C79" s="97">
        <v>1.4898565228200673E-2</v>
      </c>
      <c r="D79" s="98">
        <v>1692097</v>
      </c>
      <c r="G79" s="96" t="s">
        <v>512</v>
      </c>
      <c r="H79" s="97">
        <v>1.9308867870896605E-2</v>
      </c>
      <c r="I79" s="98">
        <v>3050596</v>
      </c>
    </row>
    <row r="80" spans="1:11" s="96" customFormat="1" x14ac:dyDescent="0.2">
      <c r="B80" s="96" t="s">
        <v>137</v>
      </c>
      <c r="C80" s="97">
        <v>1.2728364055320599E-2</v>
      </c>
      <c r="D80" s="98">
        <v>3689192</v>
      </c>
      <c r="G80" s="96" t="s">
        <v>513</v>
      </c>
      <c r="H80" s="97">
        <v>1.6783718940734011E-2</v>
      </c>
      <c r="I80" s="98">
        <v>1692097</v>
      </c>
    </row>
    <row r="81" spans="1:19" s="96" customFormat="1" x14ac:dyDescent="0.2">
      <c r="B81" s="96" t="s">
        <v>514</v>
      </c>
      <c r="C81" s="97">
        <v>8.6904641054550077E-3</v>
      </c>
      <c r="D81" s="98">
        <v>553960</v>
      </c>
      <c r="G81" s="96" t="s">
        <v>515</v>
      </c>
      <c r="H81" s="97">
        <v>6.5004185286972813E-3</v>
      </c>
      <c r="I81" s="98">
        <v>3689192</v>
      </c>
    </row>
    <row r="82" spans="1:19" s="96" customFormat="1" x14ac:dyDescent="0.2">
      <c r="B82" s="96" t="s">
        <v>516</v>
      </c>
      <c r="C82" s="97">
        <v>1.8652745332975562E-2</v>
      </c>
      <c r="D82" s="98">
        <v>5920853</v>
      </c>
      <c r="G82" s="96" t="s">
        <v>517</v>
      </c>
      <c r="H82" s="97">
        <v>1.3766897422859192E-2</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102</v>
      </c>
      <c r="D92" s="102">
        <v>0.91943309379649329</v>
      </c>
      <c r="E92" s="102">
        <v>0.93126832345099486</v>
      </c>
      <c r="F92" s="102">
        <v>0.91807383408086729</v>
      </c>
      <c r="G92" s="102">
        <v>0.9174952671797485</v>
      </c>
      <c r="H92" s="102">
        <v>0.90393682729957858</v>
      </c>
      <c r="I92" s="102">
        <v>0.88710845209298883</v>
      </c>
      <c r="J92" s="102">
        <v>0.91508897991877314</v>
      </c>
      <c r="K92" s="102">
        <v>0.788018738677288</v>
      </c>
      <c r="L92" s="102">
        <v>0.92326249403603688</v>
      </c>
      <c r="M92" s="102">
        <v>0.95397631631066904</v>
      </c>
      <c r="O92" s="96">
        <v>12153634</v>
      </c>
    </row>
    <row r="93" spans="1:19" s="96" customFormat="1" hidden="1" x14ac:dyDescent="0.2">
      <c r="B93" s="96">
        <v>2</v>
      </c>
      <c r="C93" s="96" t="s">
        <v>145</v>
      </c>
      <c r="D93" s="102"/>
      <c r="E93" s="102"/>
      <c r="F93" s="102">
        <v>8.671942962357633E-3</v>
      </c>
      <c r="G93" s="102"/>
      <c r="H93" s="102"/>
      <c r="I93" s="102">
        <v>1.6611758190301067E-2</v>
      </c>
      <c r="J93" s="102">
        <v>1.5907261911607871E-2</v>
      </c>
      <c r="K93" s="102">
        <v>8.5133319245226977E-2</v>
      </c>
      <c r="L93" s="102">
        <v>2.0377603200775935E-2</v>
      </c>
      <c r="M93" s="102">
        <v>1.2564721025406848E-2</v>
      </c>
      <c r="O93" s="96">
        <v>553960</v>
      </c>
    </row>
    <row r="94" spans="1:19" s="96" customFormat="1" hidden="1" x14ac:dyDescent="0.2">
      <c r="B94" s="96">
        <v>3</v>
      </c>
      <c r="C94" s="96" t="s">
        <v>195</v>
      </c>
      <c r="D94" s="102">
        <v>2.8373227308299005E-2</v>
      </c>
      <c r="E94" s="102">
        <v>1.8609151696166691E-2</v>
      </c>
      <c r="F94" s="102">
        <v>2.6568068637269692E-2</v>
      </c>
      <c r="G94" s="102">
        <v>1.9552337169447306E-2</v>
      </c>
      <c r="H94" s="102">
        <v>2.7197899656840215E-2</v>
      </c>
      <c r="I94" s="102">
        <v>2.1176848875785054E-2</v>
      </c>
      <c r="J94" s="102"/>
      <c r="K94" s="102">
        <v>1.4570117871962978E-2</v>
      </c>
      <c r="L94" s="102">
        <v>1.9308867870896605E-2</v>
      </c>
      <c r="M94" s="102">
        <v>6.9021666435457978E-3</v>
      </c>
      <c r="O94" s="96">
        <v>3050596</v>
      </c>
    </row>
    <row r="95" spans="1:19" s="96" customFormat="1" hidden="1" x14ac:dyDescent="0.2">
      <c r="B95" s="96">
        <v>4</v>
      </c>
      <c r="C95" s="96" t="s">
        <v>143</v>
      </c>
      <c r="D95" s="102">
        <v>1.274600107218702E-2</v>
      </c>
      <c r="E95" s="102">
        <v>1.5107256187754357E-2</v>
      </c>
      <c r="F95" s="102">
        <v>1.5684346272758675E-2</v>
      </c>
      <c r="G95" s="102">
        <v>3.0322621399217063E-2</v>
      </c>
      <c r="H95" s="102">
        <v>2.9032363209429996E-2</v>
      </c>
      <c r="I95" s="102">
        <v>2.4396918433128429E-2</v>
      </c>
      <c r="J95" s="102">
        <v>3.1632530033876331E-2</v>
      </c>
      <c r="K95" s="102">
        <v>4.3742362284765843E-2</v>
      </c>
      <c r="L95" s="102">
        <v>1.6783718940734011E-2</v>
      </c>
      <c r="M95" s="102">
        <v>1.243929807122288E-2</v>
      </c>
      <c r="O95" s="96">
        <v>1692097</v>
      </c>
    </row>
    <row r="96" spans="1:19" s="96" customFormat="1" hidden="1" x14ac:dyDescent="0.2">
      <c r="B96" s="96">
        <v>5</v>
      </c>
      <c r="C96" s="96" t="s">
        <v>20</v>
      </c>
      <c r="D96" s="102">
        <v>1.1051857190903829E-2</v>
      </c>
      <c r="E96" s="102">
        <v>1.1591821444137743E-2</v>
      </c>
      <c r="F96" s="102">
        <v>9.7292073950730786E-3</v>
      </c>
      <c r="G96" s="102">
        <v>9.0728109939999333E-3</v>
      </c>
      <c r="H96" s="102">
        <v>1.2197501906653993E-2</v>
      </c>
      <c r="I96" s="102">
        <v>1.6353345325845387E-2</v>
      </c>
      <c r="J96" s="102">
        <v>1.289433313588809E-2</v>
      </c>
      <c r="K96" s="102"/>
      <c r="L96" s="102">
        <v>6.5004185286972813E-3</v>
      </c>
      <c r="M96" s="102">
        <v>5.1645627640653242E-3</v>
      </c>
      <c r="O96" s="96">
        <v>3689192</v>
      </c>
    </row>
    <row r="97" spans="1:15" s="96" customFormat="1" hidden="1" x14ac:dyDescent="0.2">
      <c r="B97" s="96">
        <v>6</v>
      </c>
      <c r="C97" s="96" t="s">
        <v>98</v>
      </c>
      <c r="D97" s="102"/>
      <c r="E97" s="102"/>
      <c r="F97" s="102"/>
      <c r="G97" s="102"/>
      <c r="H97" s="102">
        <v>3.571773980461687E-3</v>
      </c>
      <c r="I97" s="102"/>
      <c r="J97" s="102"/>
      <c r="K97" s="102">
        <v>1.2047255179036409E-2</v>
      </c>
      <c r="L97" s="102"/>
      <c r="M97" s="102"/>
      <c r="O97" s="96">
        <v>11115023</v>
      </c>
    </row>
    <row r="98" spans="1:15" s="96" customFormat="1" hidden="1" x14ac:dyDescent="0.2">
      <c r="B98" s="96">
        <v>7</v>
      </c>
      <c r="C98" s="96" t="s">
        <v>100</v>
      </c>
      <c r="D98" s="102"/>
      <c r="E98" s="102"/>
      <c r="F98" s="102"/>
      <c r="G98" s="102">
        <v>3.7888634672335413E-3</v>
      </c>
      <c r="H98" s="102"/>
      <c r="I98" s="102"/>
      <c r="J98" s="102">
        <v>5.1791535014406075E-3</v>
      </c>
      <c r="K98" s="102"/>
      <c r="L98" s="102"/>
      <c r="M98" s="102"/>
      <c r="O98" s="96">
        <v>2480382</v>
      </c>
    </row>
    <row r="99" spans="1:15" s="96" customFormat="1" hidden="1" x14ac:dyDescent="0.2">
      <c r="B99" s="96">
        <v>8</v>
      </c>
      <c r="C99" s="96" t="s">
        <v>126</v>
      </c>
      <c r="D99" s="102"/>
      <c r="E99" s="102">
        <v>2.9408840139693838E-3</v>
      </c>
      <c r="F99" s="102"/>
      <c r="G99" s="102"/>
      <c r="H99" s="102"/>
      <c r="I99" s="102"/>
      <c r="J99" s="102"/>
      <c r="K99" s="102"/>
      <c r="L99" s="102"/>
      <c r="M99" s="102"/>
      <c r="O99" s="96">
        <v>7434864</v>
      </c>
    </row>
    <row r="100" spans="1:15" s="96" customFormat="1" hidden="1" x14ac:dyDescent="0.2">
      <c r="B100" s="96">
        <v>9</v>
      </c>
      <c r="C100" s="96" t="s">
        <v>264</v>
      </c>
      <c r="D100" s="102">
        <v>9.4313805855933755E-3</v>
      </c>
      <c r="E100" s="102"/>
      <c r="F100" s="102"/>
      <c r="G100" s="102"/>
      <c r="H100" s="102"/>
      <c r="I100" s="102"/>
      <c r="J100" s="102"/>
      <c r="K100" s="102"/>
      <c r="L100" s="102"/>
      <c r="M100" s="102"/>
      <c r="O100" s="96">
        <v>8497745</v>
      </c>
    </row>
    <row r="101" spans="1:15" s="96" customFormat="1" hidden="1" x14ac:dyDescent="0.2">
      <c r="B101" s="96">
        <v>10</v>
      </c>
      <c r="C101" s="96" t="s">
        <v>107</v>
      </c>
      <c r="D101" s="102">
        <v>1.8964440046523447E-2</v>
      </c>
      <c r="E101" s="102">
        <v>2.0482563206976979E-2</v>
      </c>
      <c r="F101" s="102">
        <v>2.1272600651673659E-2</v>
      </c>
      <c r="G101" s="102">
        <v>1.9768099790353707E-2</v>
      </c>
      <c r="H101" s="102">
        <v>2.40636339470355E-2</v>
      </c>
      <c r="I101" s="102">
        <v>3.4352677081951215E-2</v>
      </c>
      <c r="J101" s="102">
        <v>1.9297741498413921E-2</v>
      </c>
      <c r="K101" s="102">
        <v>5.6488206741719831E-2</v>
      </c>
      <c r="L101" s="102">
        <v>1.3766897422859227E-2</v>
      </c>
      <c r="M101" s="102">
        <v>8.9529351850901068E-3</v>
      </c>
      <c r="O101" s="96">
        <v>5920853</v>
      </c>
    </row>
    <row r="102" spans="1:15" s="96" customFormat="1" hidden="1" x14ac:dyDescent="0.2">
      <c r="B102" s="96">
        <v>11</v>
      </c>
      <c r="D102" s="102"/>
      <c r="E102" s="102"/>
      <c r="F102" s="102"/>
      <c r="G102" s="102"/>
      <c r="H102" s="102"/>
      <c r="I102" s="102"/>
      <c r="J102" s="102"/>
      <c r="K102" s="102"/>
      <c r="L102" s="102"/>
      <c r="M102" s="102"/>
      <c r="O102" s="96">
        <v>2887140</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11</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6</v>
      </c>
      <c r="D120" s="56">
        <v>13</v>
      </c>
      <c r="E120" s="56">
        <v>6</v>
      </c>
      <c r="F120" s="57">
        <v>27</v>
      </c>
    </row>
    <row r="121" spans="1:15" ht="18" customHeight="1" x14ac:dyDescent="0.2">
      <c r="A121" s="194" t="s">
        <v>27</v>
      </c>
      <c r="B121" s="35" t="s">
        <v>62</v>
      </c>
      <c r="C121" s="58">
        <v>18.014999389648438</v>
      </c>
      <c r="D121" s="58">
        <v>17.728461192204403</v>
      </c>
      <c r="E121" s="58">
        <v>16.581666946411133</v>
      </c>
      <c r="F121" s="59">
        <v>17.590370178222656</v>
      </c>
    </row>
    <row r="122" spans="1:15" ht="18" customHeight="1" x14ac:dyDescent="0.2">
      <c r="A122" s="195"/>
      <c r="B122" s="37" t="s">
        <v>55</v>
      </c>
      <c r="C122" s="60">
        <v>385.33334350585938</v>
      </c>
      <c r="D122" s="60">
        <v>300.61537757286658</v>
      </c>
      <c r="E122" s="60">
        <v>282.83334350585938</v>
      </c>
      <c r="F122" s="61">
        <v>309.88888549804688</v>
      </c>
    </row>
    <row r="123" spans="1:15" ht="18" customHeight="1" x14ac:dyDescent="0.2">
      <c r="A123" s="195"/>
      <c r="B123" s="37" t="s">
        <v>56</v>
      </c>
      <c r="C123" s="60">
        <v>105.33333587646484</v>
      </c>
      <c r="D123" s="60">
        <v>87.000001173753006</v>
      </c>
      <c r="E123" s="60">
        <v>65.5</v>
      </c>
      <c r="F123" s="61">
        <v>83.555557250976563</v>
      </c>
    </row>
    <row r="124" spans="1:15" ht="18" customHeight="1" x14ac:dyDescent="0.2">
      <c r="A124" s="195"/>
      <c r="B124" s="37" t="s">
        <v>57</v>
      </c>
      <c r="C124" s="60">
        <v>286.97381591796875</v>
      </c>
      <c r="D124" s="60">
        <v>241.95885760967548</v>
      </c>
      <c r="E124" s="60">
        <v>222.79736328125</v>
      </c>
      <c r="F124" s="61">
        <v>244.20951843261719</v>
      </c>
    </row>
    <row r="125" spans="1:15" ht="18" customHeight="1" x14ac:dyDescent="0.2">
      <c r="A125" s="195"/>
      <c r="B125" s="37" t="s">
        <v>58</v>
      </c>
      <c r="C125" s="33">
        <v>310.96026611328125</v>
      </c>
      <c r="D125" s="33">
        <v>102.41034463735727</v>
      </c>
      <c r="E125" s="33">
        <v>69.194831848144531</v>
      </c>
      <c r="F125" s="62">
        <v>98.927497863769531</v>
      </c>
    </row>
    <row r="126" spans="1:15" ht="18" customHeight="1" x14ac:dyDescent="0.2">
      <c r="A126" s="195"/>
      <c r="B126" s="37" t="s">
        <v>63</v>
      </c>
      <c r="C126" s="33">
        <f ca="1">847.6921875*OFFSET($L$112,MATCH($N$1,$C$112:$C$113,0)-1,0)</f>
        <v>847.69218750000005</v>
      </c>
      <c r="D126" s="33">
        <f ca="1">304.462564903846*OFFSET($L$112,MATCH($N$1,$C$112:$C$113,0)-1,0)</f>
        <v>304.46256490384599</v>
      </c>
      <c r="E126" s="33">
        <f ca="1">215.113359375*OFFSET($L$112,MATCH($N$1,$C$112:$C$113,0)-1,0)</f>
        <v>215.11335937499999</v>
      </c>
      <c r="F126" s="62">
        <f ca="1">196.12546875*OFFSET($L$112,MATCH($N$1,$C$112:$C$113,0)-1,0)</f>
        <v>196.12546875000001</v>
      </c>
    </row>
    <row r="127" spans="1:15" ht="18" customHeight="1" x14ac:dyDescent="0.2">
      <c r="A127" s="195"/>
      <c r="B127" s="37" t="s">
        <v>60</v>
      </c>
      <c r="C127" s="60">
        <v>200.83332824707031</v>
      </c>
      <c r="D127" s="60">
        <v>171.53845801720252</v>
      </c>
      <c r="E127" s="60">
        <v>167.16667175292969</v>
      </c>
      <c r="F127" s="61">
        <v>141.51852416992188</v>
      </c>
    </row>
    <row r="128" spans="1:15" ht="18" customHeight="1" x14ac:dyDescent="0.2">
      <c r="A128" s="195"/>
      <c r="B128" s="37" t="s">
        <v>64</v>
      </c>
      <c r="C128" s="60">
        <v>32.166667938232422</v>
      </c>
      <c r="D128" s="60">
        <v>39.769230769230766</v>
      </c>
      <c r="E128" s="60">
        <v>41.333332061767578</v>
      </c>
      <c r="F128" s="61">
        <v>40.111110687255859</v>
      </c>
    </row>
    <row r="129" spans="1:15" ht="18" customHeight="1" x14ac:dyDescent="0.2">
      <c r="A129" s="195"/>
      <c r="B129" s="37" t="s">
        <v>65</v>
      </c>
      <c r="C129" s="63">
        <v>1.5483498573303223</v>
      </c>
      <c r="D129" s="63">
        <v>0.59701098996172142</v>
      </c>
      <c r="E129" s="63">
        <v>0.41392719745635986</v>
      </c>
      <c r="F129" s="64">
        <v>0.69904273748397827</v>
      </c>
    </row>
    <row r="130" spans="1:15" ht="18" customHeight="1" x14ac:dyDescent="0.2">
      <c r="A130" s="196"/>
      <c r="B130" s="39" t="s">
        <v>28</v>
      </c>
      <c r="C130" s="40">
        <f ca="1">2726.04663642521*OFFSET($L$112,MATCH($N$1,$C$112:$C$113,0)-1,0)</f>
        <v>2726.0466364252102</v>
      </c>
      <c r="D130" s="40">
        <f ca="1">2972.96690077522*OFFSET($L$112,MATCH($N$1,$C$112:$C$113,0)-1,0)</f>
        <v>2972.96690077522</v>
      </c>
      <c r="E130" s="40">
        <f ca="1">3108.80673642057*OFFSET($L$112,MATCH($N$1,$C$112:$C$113,0)-1,0)</f>
        <v>3108.8067364205699</v>
      </c>
      <c r="F130" s="65">
        <f ca="1">1983*OFFSET($L$112,MATCH($N$1,$C$112:$C$113,0)-1,0)</f>
        <v>1983</v>
      </c>
    </row>
    <row r="131" spans="1:15" ht="18" customHeight="1" x14ac:dyDescent="0.2">
      <c r="A131" s="205" t="s">
        <v>29</v>
      </c>
      <c r="B131" s="35" t="s">
        <v>66</v>
      </c>
      <c r="C131" s="66">
        <v>3.9563047263247659</v>
      </c>
      <c r="D131" s="66">
        <v>1.9777620167640382</v>
      </c>
      <c r="E131" s="66">
        <v>1.4678581215134605</v>
      </c>
      <c r="F131" s="67">
        <v>2.2726202738731365</v>
      </c>
    </row>
    <row r="132" spans="1:15" ht="18" customHeight="1" x14ac:dyDescent="0.2">
      <c r="A132" s="206"/>
      <c r="B132" s="37" t="s">
        <v>67</v>
      </c>
      <c r="C132" s="63">
        <f ca="1">10.7850711918708*OFFSET($L$112,MATCH($N$1,$C$112:$C$113,0)-1,0)</f>
        <v>10.7850711918708</v>
      </c>
      <c r="D132" s="63">
        <f ca="1">5.87982101344993*OFFSET($L$112,MATCH($N$1,$C$112:$C$113,0)-1,0)</f>
        <v>5.8798210134499298</v>
      </c>
      <c r="E132" s="63">
        <f ca="1">4.56328721627068*OFFSET($L$112,MATCH($N$1,$C$112:$C$113,0)-1,0)</f>
        <v>4.5632872162706803</v>
      </c>
      <c r="F132" s="64">
        <f ca="1">4.50550884363729*OFFSET($L$112,MATCH($N$1,$C$112:$C$113,0)-1,0)</f>
        <v>4.5055088436372897</v>
      </c>
    </row>
    <row r="133" spans="1:15" ht="18" customHeight="1" x14ac:dyDescent="0.2">
      <c r="A133" s="206"/>
      <c r="B133" s="37" t="s">
        <v>11</v>
      </c>
      <c r="C133" s="63">
        <f ca="1">8.34027395305005*OFFSET($L$112,MATCH($N$1,$C$112:$C$113,0)-1,0)</f>
        <v>8.3402739530500494</v>
      </c>
      <c r="D133" s="63">
        <f ca="1">5.31719224475178*OFFSET($L$112,MATCH($N$1,$C$112:$C$113,0)-1,0)</f>
        <v>5.3171922447517801</v>
      </c>
      <c r="E133" s="63">
        <f ca="1">4.50312397972628*OFFSET($L$112,MATCH($N$1,$C$112:$C$113,0)-1,0)</f>
        <v>4.5031239797262801</v>
      </c>
      <c r="F133" s="64">
        <f ca="1">4.07178928074095*OFFSET($L$112,MATCH($N$1,$C$112:$C$113,0)-1,0)</f>
        <v>4.0717892807409504</v>
      </c>
    </row>
    <row r="134" spans="1:15" ht="18" customHeight="1" x14ac:dyDescent="0.2">
      <c r="A134" s="207"/>
      <c r="B134" s="39" t="s">
        <v>12</v>
      </c>
      <c r="C134" s="68">
        <f ca="1">2.44479723882075*OFFSET($L$112,MATCH($N$1,$C$112:$C$113,0)-1,0)</f>
        <v>2.4447972388207502</v>
      </c>
      <c r="D134" s="68">
        <f ca="1">0.562628768698146*OFFSET($L$112,MATCH($N$1,$C$112:$C$113,0)-1,0)</f>
        <v>0.56262876869814604</v>
      </c>
      <c r="E134" s="68">
        <f ca="1">0.0601632365444023*OFFSET($L$112,MATCH($N$1,$C$112:$C$113,0)-1,0)</f>
        <v>6.0163236544402303E-2</v>
      </c>
      <c r="F134" s="69">
        <f ca="1">0.433719562896333*OFFSET($L$112,MATCH($N$1,$C$112:$C$113,0)-1,0)</f>
        <v>0.43371956289633301</v>
      </c>
    </row>
    <row r="135" spans="1:15" ht="18" customHeight="1" x14ac:dyDescent="0.2">
      <c r="A135" s="208" t="s">
        <v>49</v>
      </c>
      <c r="B135" s="37" t="s">
        <v>109</v>
      </c>
      <c r="C135" s="70">
        <f ca="1">80.33509375*OFFSET($L$112,MATCH($N$1,$C$112:$C$113,0)-1,0)</f>
        <v>80.335093749999999</v>
      </c>
      <c r="D135" s="70">
        <f ca="1">68.7368653846154*OFFSET($L$112,MATCH($N$1,$C$112:$C$113,0)-1,0)</f>
        <v>68.736865384615399</v>
      </c>
      <c r="E135" s="70">
        <f ca="1">66.312671875*OFFSET($L$112,MATCH($N$1,$C$112:$C$113,0)-1,0)</f>
        <v>66.312671875000007</v>
      </c>
      <c r="F135" s="71">
        <f ca="1">40.79742578125*OFFSET($L$112,MATCH($N$1,$C$112:$C$113,0)-1,0)</f>
        <v>40.797425781249999</v>
      </c>
    </row>
    <row r="136" spans="1:15" ht="18" customHeight="1" x14ac:dyDescent="0.2">
      <c r="A136" s="209"/>
      <c r="B136" s="37" t="s">
        <v>110</v>
      </c>
      <c r="C136" s="31">
        <v>154399.99837851617</v>
      </c>
      <c r="D136" s="31">
        <v>132138.45652265157</v>
      </c>
      <c r="E136" s="31">
        <v>127300.00190997031</v>
      </c>
      <c r="F136" s="72">
        <v>110311.11111111111</v>
      </c>
    </row>
    <row r="137" spans="1:15" ht="18" customHeight="1" x14ac:dyDescent="0.2">
      <c r="A137" s="209"/>
      <c r="B137" s="37" t="s">
        <v>111</v>
      </c>
      <c r="C137" s="31">
        <v>768.79669189453125</v>
      </c>
      <c r="D137" s="31">
        <v>770.3138879177767</v>
      </c>
      <c r="E137" s="31">
        <v>761.51544189453125</v>
      </c>
      <c r="F137" s="72">
        <v>779.4818115234375</v>
      </c>
    </row>
    <row r="138" spans="1:15" ht="18" customHeight="1" x14ac:dyDescent="0.2">
      <c r="A138" s="209"/>
      <c r="B138" s="37" t="s">
        <v>112</v>
      </c>
      <c r="C138" s="31">
        <f ca="1">400.008775690705*OFFSET($L$112,MATCH($N$1,$C$112:$C$113,0)-1,0)</f>
        <v>400.00877569070502</v>
      </c>
      <c r="D138" s="31">
        <f ca="1">400.708192082047*OFFSET($L$112,MATCH($N$1,$C$112:$C$113,0)-1,0)</f>
        <v>400.70819208204699</v>
      </c>
      <c r="E138" s="31">
        <f ca="1">396.685961260324*OFFSET($L$112,MATCH($N$1,$C$112:$C$113,0)-1,0)</f>
        <v>396.68596126032401</v>
      </c>
      <c r="F138" s="72">
        <f ca="1">288.283290265692*OFFSET($L$112,MATCH($N$1,$C$112:$C$113,0)-1,0)</f>
        <v>288.28329026569202</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258.345205174009*OFFSET($L$112,MATCH($N$1,$C$112:$C$113,0)-1,0)</f>
        <v>258.34520517400898</v>
      </c>
      <c r="D139" s="31">
        <f ca="1">671.190646101405*OFFSET($L$112,MATCH($N$1,$C$112:$C$113,0)-1,0)</f>
        <v>671.19064610140504</v>
      </c>
      <c r="E139" s="31">
        <f ca="1">958.347178594642*OFFSET($L$112,MATCH($N$1,$C$112:$C$113,0)-1,0)</f>
        <v>958.34717859464195</v>
      </c>
      <c r="F139" s="72">
        <f ca="1">412.397226880549*OFFSET($L$112,MATCH($N$1,$C$112:$C$113,0)-1,0)</f>
        <v>412.397226880549</v>
      </c>
      <c r="I139" s="48"/>
      <c r="K139" s="73" t="s">
        <v>114</v>
      </c>
      <c r="L139" s="74">
        <f t="shared" ref="L139:M141" ca="1" si="2">C140</f>
        <v>865.36675000000002</v>
      </c>
      <c r="M139" s="74">
        <f t="shared" ca="1" si="2"/>
        <v>310.81066105769202</v>
      </c>
      <c r="N139" s="74">
        <f ca="1">E140</f>
        <v>219.59853125000001</v>
      </c>
      <c r="O139" s="74"/>
    </row>
    <row r="140" spans="1:15" ht="18" customHeight="1" x14ac:dyDescent="0.2">
      <c r="A140" s="187" t="s">
        <v>50</v>
      </c>
      <c r="B140" s="35" t="s">
        <v>115</v>
      </c>
      <c r="C140" s="75">
        <f ca="1">865.36675*OFFSET($L$112,MATCH($N$1,$C$112:$C$113,0)-1,0)</f>
        <v>865.36675000000002</v>
      </c>
      <c r="D140" s="75">
        <f ca="1">310.810661057692*OFFSET($L$112,MATCH($N$1,$C$112:$C$113,0)-1,0)</f>
        <v>310.81066105769202</v>
      </c>
      <c r="E140" s="75">
        <f ca="1">219.59853125*OFFSET($L$112,MATCH($N$1,$C$112:$C$113,0)-1,0)</f>
        <v>219.59853125000001</v>
      </c>
      <c r="F140" s="76">
        <f ca="1">220.255671875*OFFSET($L$112,MATCH($N$1,$C$112:$C$113,0)-1,0)</f>
        <v>220.25567187499999</v>
      </c>
      <c r="I140" s="48"/>
      <c r="K140" s="73" t="s">
        <v>116</v>
      </c>
      <c r="L140" s="74">
        <f t="shared" ca="1" si="2"/>
        <v>673.20893750000005</v>
      </c>
      <c r="M140" s="74">
        <f t="shared" ca="1" si="2"/>
        <v>281.677223557692</v>
      </c>
      <c r="N140" s="74">
        <f ca="1">E141</f>
        <v>216.7624375</v>
      </c>
      <c r="O140" s="74"/>
    </row>
    <row r="141" spans="1:15" ht="18" customHeight="1" x14ac:dyDescent="0.2">
      <c r="A141" s="188"/>
      <c r="B141" s="37" t="s">
        <v>117</v>
      </c>
      <c r="C141" s="31">
        <f ca="1">673.2089375*OFFSET($L$112,MATCH($N$1,$C$112:$C$113,0)-1,0)</f>
        <v>673.20893750000005</v>
      </c>
      <c r="D141" s="31">
        <f ca="1">281.677223557692*OFFSET($L$112,MATCH($N$1,$C$112:$C$113,0)-1,0)</f>
        <v>281.677223557692</v>
      </c>
      <c r="E141" s="31">
        <f ca="1">216.7624375*OFFSET($L$112,MATCH($N$1,$C$112:$C$113,0)-1,0)</f>
        <v>216.7624375</v>
      </c>
      <c r="F141" s="72">
        <f ca="1">201.375796875*OFFSET($L$112,MATCH($N$1,$C$112:$C$113,0)-1,0)</f>
        <v>201.37579687499999</v>
      </c>
      <c r="I141" s="48"/>
      <c r="K141" s="73" t="s">
        <v>118</v>
      </c>
      <c r="L141" s="74">
        <f t="shared" ca="1" si="2"/>
        <v>192.15781250000001</v>
      </c>
      <c r="M141" s="74">
        <f t="shared" ca="1" si="2"/>
        <v>29.133437499999999</v>
      </c>
      <c r="N141" s="74">
        <f ca="1">E142</f>
        <v>2.8360937499999999</v>
      </c>
      <c r="O141" s="74"/>
    </row>
    <row r="142" spans="1:15" ht="18" customHeight="1" x14ac:dyDescent="0.2">
      <c r="A142" s="189"/>
      <c r="B142" s="39" t="s">
        <v>119</v>
      </c>
      <c r="C142" s="40">
        <f ca="1">192.1578125*OFFSET($L$112,MATCH($N$1,$C$112:$C$113,0)-1,0)</f>
        <v>192.15781250000001</v>
      </c>
      <c r="D142" s="40">
        <f ca="1">29.1334375*OFFSET($L$112,MATCH($N$1,$C$112:$C$113,0)-1,0)</f>
        <v>29.133437499999999</v>
      </c>
      <c r="E142" s="40">
        <f ca="1">2.83609375*OFFSET($L$112,MATCH($N$1,$C$112:$C$113,0)-1,0)</f>
        <v>2.8360937499999999</v>
      </c>
      <c r="F142" s="65">
        <f ca="1">18.879876953125*OFFSET($L$112,MATCH($N$1,$C$112:$C$113,0)-1,0)</f>
        <v>18.879876953124999</v>
      </c>
      <c r="I142" s="48"/>
      <c r="K142" s="73" t="s">
        <v>120</v>
      </c>
      <c r="L142" s="77">
        <f ca="1">IFERROR(L140/L$139,"")</f>
        <v>0.77794638804876659</v>
      </c>
      <c r="M142" s="77">
        <f t="shared" ref="M142:N143" ca="1" si="3">IFERROR(M140/M$139,"")</f>
        <v>0.9062662863594878</v>
      </c>
      <c r="N142" s="77">
        <f t="shared" ca="1" si="3"/>
        <v>0.98708509690908963</v>
      </c>
      <c r="O142" s="77"/>
    </row>
    <row r="143" spans="1:15" ht="18" customHeight="1" x14ac:dyDescent="0.2">
      <c r="I143" s="48"/>
      <c r="K143" s="73" t="s">
        <v>121</v>
      </c>
      <c r="L143" s="77">
        <f ca="1">IFERROR(L141/L$139,"")</f>
        <v>0.22205361195123338</v>
      </c>
      <c r="M143" s="77">
        <f t="shared" ca="1" si="3"/>
        <v>9.3733713640512195E-2</v>
      </c>
      <c r="N143" s="77">
        <f t="shared" ca="1" si="3"/>
        <v>1.2914903090910358E-2</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11</v>
      </c>
      <c r="B161" s="53"/>
      <c r="C161" s="78" t="s">
        <v>45</v>
      </c>
      <c r="D161" s="78" t="s">
        <v>122</v>
      </c>
      <c r="E161" s="78" t="s">
        <v>47</v>
      </c>
      <c r="F161" s="78" t="s">
        <v>123</v>
      </c>
      <c r="G161" s="79">
        <v>11</v>
      </c>
      <c r="H161" s="78"/>
      <c r="I161" s="78" t="s">
        <v>45</v>
      </c>
      <c r="J161" s="78" t="s">
        <v>122</v>
      </c>
      <c r="K161" s="78" t="s">
        <v>47</v>
      </c>
      <c r="L161" s="53" t="s">
        <v>123</v>
      </c>
      <c r="R161" s="21"/>
      <c r="S161" s="21"/>
    </row>
    <row r="162" spans="1:19" s="48" customFormat="1" x14ac:dyDescent="0.2">
      <c r="A162" s="49">
        <v>1</v>
      </c>
      <c r="B162" s="53" t="s">
        <v>102</v>
      </c>
      <c r="C162" s="53">
        <v>0.38601304382615936</v>
      </c>
      <c r="D162" s="53">
        <v>0.69214990799025944</v>
      </c>
      <c r="E162" s="53">
        <v>0.97997864924579359</v>
      </c>
      <c r="F162" s="49">
        <v>12153634</v>
      </c>
      <c r="G162" s="49">
        <v>1</v>
      </c>
      <c r="H162" s="53" t="s">
        <v>102</v>
      </c>
      <c r="I162" s="53">
        <v>0.29856019540027651</v>
      </c>
      <c r="J162" s="53">
        <v>0.87228026572751094</v>
      </c>
      <c r="K162" s="53">
        <v>0.81350113178409478</v>
      </c>
      <c r="L162" s="49">
        <v>12153634</v>
      </c>
      <c r="R162" s="21"/>
      <c r="S162" s="21"/>
    </row>
    <row r="163" spans="1:19" s="48" customFormat="1" x14ac:dyDescent="0.2">
      <c r="A163" s="49">
        <v>2</v>
      </c>
      <c r="B163" s="53" t="s">
        <v>195</v>
      </c>
      <c r="C163" s="53">
        <v>0</v>
      </c>
      <c r="D163" s="53">
        <v>0.2272127966273442</v>
      </c>
      <c r="E163" s="53">
        <v>0</v>
      </c>
      <c r="F163" s="49">
        <v>3050596</v>
      </c>
      <c r="G163" s="49">
        <v>2</v>
      </c>
      <c r="H163" s="53" t="s">
        <v>145</v>
      </c>
      <c r="I163" s="53">
        <v>0</v>
      </c>
      <c r="J163" s="53">
        <v>3.8288323437084042E-2</v>
      </c>
      <c r="K163" s="53">
        <v>0</v>
      </c>
      <c r="L163" s="49">
        <v>553960</v>
      </c>
      <c r="N163" s="48" t="s">
        <v>124</v>
      </c>
      <c r="R163" s="21"/>
      <c r="S163" s="21"/>
    </row>
    <row r="164" spans="1:19" s="48" customFormat="1" x14ac:dyDescent="0.2">
      <c r="A164" s="49">
        <v>3</v>
      </c>
      <c r="B164" s="53" t="s">
        <v>143</v>
      </c>
      <c r="C164" s="53">
        <v>2.3904447631916083E-3</v>
      </c>
      <c r="D164" s="53">
        <v>2.2450026771803733E-2</v>
      </c>
      <c r="E164" s="53">
        <v>5.9468911584790261E-3</v>
      </c>
      <c r="F164" s="49">
        <v>1692097</v>
      </c>
      <c r="G164" s="49">
        <v>3</v>
      </c>
      <c r="H164" s="53" t="s">
        <v>195</v>
      </c>
      <c r="I164" s="53">
        <v>0</v>
      </c>
      <c r="J164" s="53">
        <v>3.6399432329874325E-2</v>
      </c>
      <c r="K164" s="53">
        <v>0</v>
      </c>
      <c r="L164" s="49">
        <v>3050596</v>
      </c>
      <c r="N164" s="48" t="s">
        <v>125</v>
      </c>
      <c r="R164" s="21"/>
      <c r="S164" s="21"/>
    </row>
    <row r="165" spans="1:19" s="48" customFormat="1" x14ac:dyDescent="0.2">
      <c r="A165" s="49">
        <v>4</v>
      </c>
      <c r="B165" s="53" t="s">
        <v>20</v>
      </c>
      <c r="C165" s="53">
        <v>1.8295478246773704E-3</v>
      </c>
      <c r="D165" s="53">
        <v>2.0090386811371055E-2</v>
      </c>
      <c r="E165" s="53">
        <v>3.1840661370870914E-3</v>
      </c>
      <c r="F165" s="49">
        <v>3689192</v>
      </c>
      <c r="G165" s="49">
        <v>4</v>
      </c>
      <c r="H165" s="53" t="s">
        <v>143</v>
      </c>
      <c r="I165" s="53">
        <v>2.002320273693123E-3</v>
      </c>
      <c r="J165" s="53">
        <v>2.6248575533812341E-2</v>
      </c>
      <c r="K165" s="53">
        <v>4.4659688724410828E-3</v>
      </c>
      <c r="L165" s="49">
        <v>1692097</v>
      </c>
      <c r="R165" s="21"/>
      <c r="S165" s="21"/>
    </row>
    <row r="166" spans="1:19" s="48" customFormat="1" x14ac:dyDescent="0.2">
      <c r="A166" s="49">
        <v>5</v>
      </c>
      <c r="B166" s="53" t="s">
        <v>145</v>
      </c>
      <c r="C166" s="53">
        <v>0</v>
      </c>
      <c r="D166" s="53">
        <v>1.5961829028054753E-2</v>
      </c>
      <c r="E166" s="53">
        <v>0</v>
      </c>
      <c r="F166" s="49">
        <v>553960</v>
      </c>
      <c r="G166" s="49">
        <v>5</v>
      </c>
      <c r="H166" s="53" t="s">
        <v>20</v>
      </c>
      <c r="I166" s="53">
        <v>8.4691619772014708E-4</v>
      </c>
      <c r="J166" s="53">
        <v>1.0214390594652784E-2</v>
      </c>
      <c r="K166" s="53">
        <v>1.3378469550010934E-3</v>
      </c>
      <c r="L166" s="49">
        <v>3689192</v>
      </c>
      <c r="R166" s="21"/>
      <c r="S166" s="21"/>
    </row>
    <row r="167" spans="1:19" s="48" customFormat="1" x14ac:dyDescent="0.2">
      <c r="A167" s="49">
        <v>6</v>
      </c>
      <c r="B167" s="53" t="s">
        <v>106</v>
      </c>
      <c r="C167" s="53">
        <v>0</v>
      </c>
      <c r="D167" s="53">
        <v>0</v>
      </c>
      <c r="E167" s="53">
        <v>5.1832100278278777E-3</v>
      </c>
      <c r="F167" s="49">
        <v>11115023</v>
      </c>
      <c r="G167" s="49">
        <v>6</v>
      </c>
      <c r="H167" s="53" t="s">
        <v>100</v>
      </c>
      <c r="I167" s="53">
        <v>0</v>
      </c>
      <c r="J167" s="53">
        <v>0</v>
      </c>
      <c r="K167" s="53">
        <v>1.7245093756271669E-3</v>
      </c>
      <c r="L167" s="49">
        <v>2480382</v>
      </c>
      <c r="R167" s="21"/>
      <c r="S167" s="21"/>
    </row>
    <row r="168" spans="1:19" s="48" customFormat="1" x14ac:dyDescent="0.2">
      <c r="A168" s="49">
        <v>7</v>
      </c>
      <c r="B168" s="53" t="s">
        <v>100</v>
      </c>
      <c r="C168" s="53">
        <v>0</v>
      </c>
      <c r="D168" s="53">
        <v>0</v>
      </c>
      <c r="E168" s="53">
        <v>2.0938303825186735E-3</v>
      </c>
      <c r="F168" s="49">
        <v>2480382</v>
      </c>
      <c r="G168" s="49">
        <v>7</v>
      </c>
      <c r="H168" s="53" t="s">
        <v>106</v>
      </c>
      <c r="I168" s="53">
        <v>0</v>
      </c>
      <c r="J168" s="53">
        <v>0</v>
      </c>
      <c r="K168" s="53">
        <v>1.561651761661194E-3</v>
      </c>
      <c r="L168" s="49">
        <v>11115023</v>
      </c>
      <c r="R168" s="21"/>
      <c r="S168" s="21"/>
    </row>
    <row r="169" spans="1:19" s="48" customFormat="1" x14ac:dyDescent="0.2">
      <c r="A169" s="49">
        <v>8</v>
      </c>
      <c r="B169" s="53" t="s">
        <v>127</v>
      </c>
      <c r="C169" s="53">
        <v>8.232563131779048E-4</v>
      </c>
      <c r="D169" s="53">
        <v>0</v>
      </c>
      <c r="E169" s="53">
        <v>0</v>
      </c>
      <c r="F169" s="49">
        <v>7434864</v>
      </c>
      <c r="G169" s="49">
        <v>8</v>
      </c>
      <c r="H169" s="53" t="s">
        <v>146</v>
      </c>
      <c r="I169" s="53">
        <v>4.6695003539360758E-4</v>
      </c>
      <c r="J169" s="53">
        <v>0</v>
      </c>
      <c r="K169" s="53">
        <v>0</v>
      </c>
      <c r="L169" s="49">
        <v>14393110</v>
      </c>
      <c r="R169" s="21"/>
      <c r="S169" s="21"/>
    </row>
    <row r="170" spans="1:19" s="48" customFormat="1" x14ac:dyDescent="0.2">
      <c r="A170" s="49">
        <v>9</v>
      </c>
      <c r="B170" s="53" t="s">
        <v>98</v>
      </c>
      <c r="C170" s="53">
        <v>4.4523375405619971E-4</v>
      </c>
      <c r="D170" s="53">
        <v>0</v>
      </c>
      <c r="E170" s="53">
        <v>0</v>
      </c>
      <c r="F170" s="49">
        <v>8497745</v>
      </c>
      <c r="G170" s="49">
        <v>9</v>
      </c>
      <c r="H170" s="53" t="s">
        <v>144</v>
      </c>
      <c r="I170" s="53">
        <v>4.0528644955811224E-4</v>
      </c>
      <c r="J170" s="53">
        <v>0</v>
      </c>
      <c r="K170" s="53">
        <v>0</v>
      </c>
      <c r="L170" s="49">
        <v>2887140</v>
      </c>
      <c r="R170" s="21"/>
      <c r="S170" s="21"/>
    </row>
    <row r="171" spans="1:19" s="48" customFormat="1" x14ac:dyDescent="0.2">
      <c r="A171" s="49">
        <v>10</v>
      </c>
      <c r="B171" s="53" t="s">
        <v>107</v>
      </c>
      <c r="C171" s="53">
        <v>0.60849847351873754</v>
      </c>
      <c r="D171" s="53">
        <v>2.2135052771166785E-2</v>
      </c>
      <c r="E171" s="53">
        <v>3.6133530482937992E-3</v>
      </c>
      <c r="F171" s="49">
        <v>5920853</v>
      </c>
      <c r="G171" s="49">
        <v>10</v>
      </c>
      <c r="H171" s="53" t="s">
        <v>107</v>
      </c>
      <c r="I171" s="53">
        <v>0.6977183316433585</v>
      </c>
      <c r="J171" s="53">
        <v>1.6569012377065651E-2</v>
      </c>
      <c r="K171" s="53">
        <v>0.17740889125117465</v>
      </c>
      <c r="L171" s="49">
        <v>5920853</v>
      </c>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1DDF2756-83DE-425E-B500-3A5754525C46}">
      <formula1>$C$112:$C$113</formula1>
    </dataValidation>
  </dataValidations>
  <hyperlinks>
    <hyperlink ref="O1:P1" location="Home_page" display="Back to home page" xr:uid="{7CE61A67-330D-49E5-839A-19A3F4DBFA79}"/>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717808B5-56C3-49BE-85DA-481BFF57EA47}">
          <x14:colorSeries rgb="FF323232"/>
          <x14:colorNegative rgb="FFD00000"/>
          <x14:colorAxis rgb="FF000000"/>
          <x14:colorMarkers rgb="FFD00000"/>
          <x14:colorFirst rgb="FFD00000"/>
          <x14:colorLast rgb="FFD00000"/>
          <x14:colorHigh rgb="FFD00000"/>
          <x14:colorLow rgb="FFD00000"/>
          <x14:sparklines>
            <x14:sparkline>
              <xm:f>'WOS nephrops over 250kW'!D3:N3</xm:f>
              <xm:sqref>C3</xm:sqref>
            </x14:sparkline>
            <x14:sparkline>
              <xm:f>'WOS nephrops over 250kW'!D4:N4</xm:f>
              <xm:sqref>C4</xm:sqref>
            </x14:sparkline>
            <x14:sparkline>
              <xm:f>'WOS nephrops over 250kW'!D5:N5</xm:f>
              <xm:sqref>C5</xm:sqref>
            </x14:sparkline>
            <x14:sparkline>
              <xm:f>'WOS nephrops over 250kW'!D6:N6</xm:f>
              <xm:sqref>C6</xm:sqref>
            </x14:sparkline>
            <x14:sparkline>
              <xm:f>'WOS nephrops over 250kW'!D7:N7</xm:f>
              <xm:sqref>C7</xm:sqref>
            </x14:sparkline>
            <x14:sparkline>
              <xm:f>'WOS nephrops over 250kW'!D8:N8</xm:f>
              <xm:sqref>C8</xm:sqref>
            </x14:sparkline>
            <x14:sparkline>
              <xm:f>'WOS nephrops over 250kW'!D9:N9</xm:f>
              <xm:sqref>C9</xm:sqref>
            </x14:sparkline>
            <x14:sparkline>
              <xm:f>'WOS nephrops over 250kW'!D10:N10</xm:f>
              <xm:sqref>C10</xm:sqref>
            </x14:sparkline>
            <x14:sparkline>
              <xm:f>'WOS nephrops over 250kW'!D11:N11</xm:f>
              <xm:sqref>C11</xm:sqref>
            </x14:sparkline>
            <x14:sparkline>
              <xm:f>'WOS nephrops over 250kW'!D12:N12</xm:f>
              <xm:sqref>C12</xm:sqref>
            </x14:sparkline>
            <x14:sparkline>
              <xm:f>'WOS nephrops over 250kW'!D13:N13</xm:f>
              <xm:sqref>C13</xm:sqref>
            </x14:sparkline>
            <x14:sparkline>
              <xm:f>'WOS nephrops over 250kW'!D14:N14</xm:f>
              <xm:sqref>C14</xm:sqref>
            </x14:sparkline>
            <x14:sparkline>
              <xm:f>'WOS nephrops over 250kW'!D15:N15</xm:f>
              <xm:sqref>C15</xm:sqref>
            </x14:sparkline>
            <x14:sparkline>
              <xm:f>'WOS nephrops over 250kW'!D16:N16</xm:f>
              <xm:sqref>C16</xm:sqref>
            </x14:sparkline>
            <x14:sparkline>
              <xm:f>'WOS nephrops over 250kW'!D17:N17</xm:f>
              <xm:sqref>C17</xm:sqref>
            </x14:sparkline>
            <x14:sparkline>
              <xm:f>'WOS nephrops over 250kW'!D18:N18</xm:f>
              <xm:sqref>C18</xm:sqref>
            </x14:sparkline>
            <x14:sparkline>
              <xm:f>'WOS nephrops over 250kW'!D19:N19</xm:f>
              <xm:sqref>C19</xm:sqref>
            </x14:sparkline>
            <x14:sparkline>
              <xm:f>'WOS nephrops over 250kW'!D20:N20</xm:f>
              <xm:sqref>C20</xm:sqref>
            </x14:sparkline>
            <x14:sparkline>
              <xm:f>'WOS nephrops over 250kW'!D21:N21</xm:f>
              <xm:sqref>C21</xm:sqref>
            </x14:sparkline>
            <x14:sparkline>
              <xm:f>'WOS nephrops over 250kW'!D22:N22</xm:f>
              <xm:sqref>C22</xm:sqref>
            </x14:sparkline>
            <x14:sparkline>
              <xm:f>'WOS nephrops over 250kW'!D23:N23</xm:f>
              <xm:sqref>C23</xm:sqref>
            </x14:sparkline>
            <x14:sparkline>
              <xm:f>'WOS nephrops over 250kW'!D24:N24</xm:f>
              <xm:sqref>C24</xm:sqref>
            </x14:sparkline>
            <x14:sparkline>
              <xm:f>'WOS nephrops over 250kW'!D25:N25</xm:f>
              <xm:sqref>C25</xm:sqref>
            </x14:sparkline>
            <x14:sparkline>
              <xm:f>'WOS nephrops over 250kW'!D26:N26</xm:f>
              <xm:sqref>C26</xm:sqref>
            </x14:sparkline>
            <x14:sparkline>
              <xm:f>'WOS nephrops over 250kW'!D27:N27</xm:f>
              <xm:sqref>C27</xm:sqref>
            </x14:sparkline>
            <x14:sparkline>
              <xm:f>'WOS nephrops over 250kW'!D28:N28</xm:f>
              <xm:sqref>C28</xm:sqref>
            </x14:sparkline>
            <x14:sparkline>
              <xm:f>'WOS nephrops over 250kW'!D29:N29</xm:f>
              <xm:sqref>C29</xm:sqref>
            </x14:sparkline>
            <x14:sparkline>
              <xm:f>'WOS nephrops over 250kW'!D30:N30</xm:f>
              <xm:sqref>C30</xm:sqref>
            </x14:sparkline>
            <x14:sparkline>
              <xm:f>'WOS nephrops over 250kW'!D31:N31</xm:f>
              <xm:sqref>C31</xm:sqref>
            </x14:sparkline>
            <x14:sparkline>
              <xm:f>'WOS nephrops over 250kW'!D32:N32</xm:f>
              <xm:sqref>C32</xm:sqref>
            </x14:sparkline>
            <x14:sparkline>
              <xm:f>'WOS nephrops over 250kW'!D33:N33</xm:f>
              <xm:sqref>C33</xm:sqref>
            </x14:sparkline>
            <x14:sparkline>
              <xm:f>'WOS nephrops over 250kW'!D34:N34</xm:f>
              <xm:sqref>C34</xm:sqref>
            </x14:sparkline>
            <x14:sparkline>
              <xm:f>'WOS nephrops over 250kW'!D35:N35</xm:f>
              <xm:sqref>C35</xm:sqref>
            </x14:sparkline>
            <x14:sparkline>
              <xm:f>'WOS nephrops over 250kW'!D36:N36</xm:f>
              <xm:sqref>C36</xm:sqref>
            </x14:sparkline>
            <x14:sparkline>
              <xm:f>'WOS nephrops over 250kW'!D37:N37</xm:f>
              <xm:sqref>C37</xm:sqref>
            </x14:sparkline>
            <x14:sparkline>
              <xm:f>'WOS nephrops over 250kW'!D38:N38</xm:f>
              <xm:sqref>C38</xm:sqref>
            </x14:sparkline>
            <x14:sparkline>
              <xm:f>'WOS nephrops over 250kW'!D39:N39</xm:f>
              <xm:sqref>C39</xm:sqref>
            </x14:sparkline>
            <x14:sparkline>
              <xm:f>'WOS nephrops over 250kW'!D40:N40</xm:f>
              <xm:sqref>C40</xm:sqref>
            </x14:sparkline>
            <x14:sparkline>
              <xm:f>'WOS nephrops over 250kW'!D41:N41</xm:f>
              <xm:sqref>C41</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18519-25F3-4678-A3AB-391BCE6CCB9D}">
  <sheetPr codeName="Feuil38">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518</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94</v>
      </c>
      <c r="E3" s="28">
        <v>99</v>
      </c>
      <c r="F3" s="28">
        <v>96</v>
      </c>
      <c r="G3" s="28">
        <v>90</v>
      </c>
      <c r="H3" s="28">
        <v>89</v>
      </c>
      <c r="I3" s="28">
        <v>81</v>
      </c>
      <c r="J3" s="28">
        <v>74</v>
      </c>
      <c r="K3" s="28">
        <v>61</v>
      </c>
      <c r="L3" s="28">
        <v>60</v>
      </c>
      <c r="M3" s="28">
        <v>53</v>
      </c>
      <c r="N3" s="28">
        <v>57</v>
      </c>
      <c r="O3" s="29">
        <f t="shared" ref="O3:O41" si="0">IF(N3=0,"",IFERROR(IF(AND(N3&gt;0,D3&lt;0),"na",IF(AND(N3&lt;0,D3&lt;0),-1,1)*(N3-D3)/D3),""))</f>
        <v>-0.39361702127659576</v>
      </c>
      <c r="P3" s="29">
        <f t="shared" ref="P3:P41" si="1">IF(N3=0,"",IFERROR(IF(AND(N3&gt;0,J3&lt;0),"na",IF(AND(N3&lt;0,J3&lt;0),-1,1)*(N3-J3)/J3),""))</f>
        <v>-0.22972972972972974</v>
      </c>
    </row>
    <row r="4" spans="1:17" ht="18" customHeight="1" x14ac:dyDescent="0.2">
      <c r="A4" s="193"/>
      <c r="B4" s="30" t="s">
        <v>55</v>
      </c>
      <c r="C4" s="31"/>
      <c r="D4" s="31">
        <v>15282</v>
      </c>
      <c r="E4" s="31">
        <v>15851</v>
      </c>
      <c r="F4" s="31">
        <v>15656</v>
      </c>
      <c r="G4" s="31">
        <v>14714</v>
      </c>
      <c r="H4" s="31">
        <v>14387</v>
      </c>
      <c r="I4" s="31">
        <v>13405</v>
      </c>
      <c r="J4" s="31">
        <v>12232</v>
      </c>
      <c r="K4" s="31">
        <v>9966</v>
      </c>
      <c r="L4" s="31">
        <v>10395</v>
      </c>
      <c r="M4" s="31">
        <v>9099</v>
      </c>
      <c r="N4" s="31">
        <v>10011</v>
      </c>
      <c r="O4" s="29">
        <f t="shared" si="0"/>
        <v>-0.34491558696505692</v>
      </c>
      <c r="P4" s="29">
        <f t="shared" si="1"/>
        <v>-0.1815729234793983</v>
      </c>
    </row>
    <row r="5" spans="1:17" ht="18" customHeight="1" x14ac:dyDescent="0.2">
      <c r="A5" s="193"/>
      <c r="B5" s="30" t="s">
        <v>56</v>
      </c>
      <c r="C5" s="31"/>
      <c r="D5" s="31">
        <v>3501</v>
      </c>
      <c r="E5" s="31">
        <v>3679</v>
      </c>
      <c r="F5" s="31">
        <v>3684</v>
      </c>
      <c r="G5" s="31">
        <v>3453</v>
      </c>
      <c r="H5" s="31">
        <v>3275</v>
      </c>
      <c r="I5" s="31">
        <v>3045</v>
      </c>
      <c r="J5" s="31">
        <v>2943</v>
      </c>
      <c r="K5" s="31">
        <v>2344</v>
      </c>
      <c r="L5" s="31">
        <v>2580</v>
      </c>
      <c r="M5" s="31">
        <v>2126</v>
      </c>
      <c r="N5" s="31">
        <v>2386</v>
      </c>
      <c r="O5" s="29">
        <f t="shared" si="0"/>
        <v>-0.3184804341616681</v>
      </c>
      <c r="P5" s="29">
        <f t="shared" si="1"/>
        <v>-0.18926265715256541</v>
      </c>
      <c r="Q5" s="32"/>
    </row>
    <row r="6" spans="1:17" ht="18" customHeight="1" x14ac:dyDescent="0.2">
      <c r="A6" s="193"/>
      <c r="B6" s="30" t="s">
        <v>57</v>
      </c>
      <c r="C6" s="31"/>
      <c r="D6" s="31">
        <v>13983.46484375</v>
      </c>
      <c r="E6" s="31">
        <v>14577.142578125</v>
      </c>
      <c r="F6" s="31">
        <v>14395.8583984375</v>
      </c>
      <c r="G6" s="31">
        <v>13581.5751953125</v>
      </c>
      <c r="H6" s="31">
        <v>13226.0654296875</v>
      </c>
      <c r="I6" s="31">
        <v>12171.146484375</v>
      </c>
      <c r="J6" s="31">
        <v>11386.3291015625</v>
      </c>
      <c r="K6" s="31">
        <v>9201.818359375</v>
      </c>
      <c r="L6" s="31">
        <v>9623.94140625</v>
      </c>
      <c r="M6" s="31">
        <v>8316.666015625</v>
      </c>
      <c r="N6" s="31">
        <v>8979.646484375</v>
      </c>
      <c r="O6" s="29">
        <f t="shared" si="0"/>
        <v>-0.35783823360570671</v>
      </c>
      <c r="P6" s="29">
        <f t="shared" si="1"/>
        <v>-0.21136598070551471</v>
      </c>
    </row>
    <row r="7" spans="1:17" ht="18" customHeight="1" x14ac:dyDescent="0.2">
      <c r="A7" s="193"/>
      <c r="B7" s="30" t="s">
        <v>58</v>
      </c>
      <c r="C7" s="31"/>
      <c r="D7" s="31">
        <v>5869.46533203125</v>
      </c>
      <c r="E7" s="31">
        <v>6578.23876953125</v>
      </c>
      <c r="F7" s="31">
        <v>6387.63916015625</v>
      </c>
      <c r="G7" s="31">
        <v>5590.63720703125</v>
      </c>
      <c r="H7" s="31">
        <v>4935.31201171875</v>
      </c>
      <c r="I7" s="31">
        <v>5803.6943359375</v>
      </c>
      <c r="J7" s="31">
        <v>4969.7666015625</v>
      </c>
      <c r="K7" s="31">
        <v>3767.2451171875</v>
      </c>
      <c r="L7" s="31">
        <v>4351</v>
      </c>
      <c r="M7" s="31">
        <v>2634.65478515625</v>
      </c>
      <c r="N7" s="31">
        <v>4069.203857421875</v>
      </c>
      <c r="O7" s="29">
        <f t="shared" si="0"/>
        <v>-0.30671643374139451</v>
      </c>
      <c r="P7" s="29">
        <f t="shared" si="1"/>
        <v>-0.18120825711563338</v>
      </c>
    </row>
    <row r="8" spans="1:17" ht="18" customHeight="1" x14ac:dyDescent="0.2">
      <c r="A8" s="193"/>
      <c r="B8" s="30" t="s">
        <v>59</v>
      </c>
      <c r="C8" s="33"/>
      <c r="D8" s="33">
        <f ca="1">18.273082*OFFSET(D$112,MATCH($N$1,$C$112:$C$113,0)-1,0)</f>
        <v>18.273081999999999</v>
      </c>
      <c r="E8" s="33">
        <f ca="1">21.581688*OFFSET(E$112,MATCH($N$1,$C$112:$C$113,0)-1,0)</f>
        <v>21.581688</v>
      </c>
      <c r="F8" s="33">
        <f ca="1">18.62496*OFFSET(F$112,MATCH($N$1,$C$112:$C$113,0)-1,0)</f>
        <v>18.624960000000002</v>
      </c>
      <c r="G8" s="33">
        <f ca="1">17.162774*OFFSET(G$112,MATCH($N$1,$C$112:$C$113,0)-1,0)</f>
        <v>17.162773999999999</v>
      </c>
      <c r="H8" s="33">
        <f ca="1">15.329137*OFFSET(H$112,MATCH($N$1,$C$112:$C$113,0)-1,0)</f>
        <v>15.329136999999999</v>
      </c>
      <c r="I8" s="33">
        <f ca="1">16.657611*OFFSET(I$112,MATCH($N$1,$C$112:$C$113,0)-1,0)</f>
        <v>16.657610999999999</v>
      </c>
      <c r="J8" s="33">
        <f ca="1">14.287845*OFFSET(J$112,MATCH($N$1,$C$112:$C$113,0)-1,0)</f>
        <v>14.287845000000001</v>
      </c>
      <c r="K8" s="33">
        <f ca="1">11.414643*OFFSET(K$112,MATCH($N$1,$C$112:$C$113,0)-1,0)</f>
        <v>11.414643</v>
      </c>
      <c r="L8" s="33">
        <f ca="1">12.71626*OFFSET(L$112,MATCH($N$1,$C$112:$C$113,0)-1,0)</f>
        <v>12.71626</v>
      </c>
      <c r="M8" s="33">
        <f ca="1">5.870963*OFFSET(M$112,MATCH($N$1,$C$112:$C$113,0)-1,0)</f>
        <v>5.8709629999999997</v>
      </c>
      <c r="N8" s="33">
        <v>9.2457349999999998</v>
      </c>
      <c r="O8" s="29">
        <f t="shared" ca="1" si="0"/>
        <v>-0.49402432496061693</v>
      </c>
      <c r="P8" s="29">
        <f t="shared" ca="1" si="1"/>
        <v>-0.35289506570095075</v>
      </c>
    </row>
    <row r="9" spans="1:17" ht="18" customHeight="1" x14ac:dyDescent="0.2">
      <c r="A9" s="193"/>
      <c r="B9" s="30" t="s">
        <v>60</v>
      </c>
      <c r="C9" s="31"/>
      <c r="D9" s="31">
        <v>14963</v>
      </c>
      <c r="E9" s="31">
        <v>16450</v>
      </c>
      <c r="F9" s="31">
        <v>15345</v>
      </c>
      <c r="G9" s="31">
        <v>14535</v>
      </c>
      <c r="H9" s="31">
        <v>13559</v>
      </c>
      <c r="I9" s="31">
        <v>12851</v>
      </c>
      <c r="J9" s="31">
        <v>11256</v>
      </c>
      <c r="K9" s="31">
        <v>9499</v>
      </c>
      <c r="L9" s="31">
        <v>9773</v>
      </c>
      <c r="M9" s="31">
        <v>6844</v>
      </c>
      <c r="N9" s="31">
        <v>8468</v>
      </c>
      <c r="O9" s="29">
        <f t="shared" si="0"/>
        <v>-0.43407070774577289</v>
      </c>
      <c r="P9" s="29">
        <f t="shared" si="1"/>
        <v>-0.24769012082444919</v>
      </c>
    </row>
    <row r="10" spans="1:17" ht="18" customHeight="1" x14ac:dyDescent="0.2">
      <c r="A10" s="193"/>
      <c r="B10" s="30" t="s">
        <v>61</v>
      </c>
      <c r="C10" s="31"/>
      <c r="D10" s="31">
        <v>394.768798828125</v>
      </c>
      <c r="E10" s="31">
        <v>470.4945068359375</v>
      </c>
      <c r="F10" s="31">
        <v>322.97274780273438</v>
      </c>
      <c r="G10" s="31">
        <v>336.0362548828125</v>
      </c>
      <c r="H10" s="31">
        <v>354.4327392578125</v>
      </c>
      <c r="I10" s="31">
        <v>305.84152221679688</v>
      </c>
      <c r="J10" s="31">
        <v>282.30038452148438</v>
      </c>
      <c r="K10" s="31">
        <v>285.81304931640625</v>
      </c>
      <c r="L10" s="31">
        <v>248.22349548339844</v>
      </c>
      <c r="M10" s="31">
        <v>142.18858337402344</v>
      </c>
      <c r="N10" s="31">
        <v>183.003173828125</v>
      </c>
      <c r="O10" s="34">
        <f t="shared" si="0"/>
        <v>-0.53642948892776809</v>
      </c>
      <c r="P10" s="34">
        <f t="shared" si="1"/>
        <v>-0.35174309401552512</v>
      </c>
    </row>
    <row r="11" spans="1:17" ht="18" customHeight="1" x14ac:dyDescent="0.2">
      <c r="A11" s="194" t="s">
        <v>27</v>
      </c>
      <c r="B11" s="35" t="s">
        <v>62</v>
      </c>
      <c r="C11" s="36"/>
      <c r="D11" s="36">
        <v>14.621064186096191</v>
      </c>
      <c r="E11" s="36">
        <v>14.564949035644531</v>
      </c>
      <c r="F11" s="36">
        <v>14.633020401000977</v>
      </c>
      <c r="G11" s="36">
        <v>14.802777290344238</v>
      </c>
      <c r="H11" s="36">
        <v>14.690673828125</v>
      </c>
      <c r="I11" s="36">
        <v>14.746542930603027</v>
      </c>
      <c r="J11" s="36">
        <v>15.086081504821777</v>
      </c>
      <c r="K11" s="36">
        <v>14.826885223388672</v>
      </c>
      <c r="L11" s="36">
        <v>15.443666458129883</v>
      </c>
      <c r="M11" s="36">
        <v>15.111509323120117</v>
      </c>
      <c r="N11" s="36">
        <v>15.232631683349609</v>
      </c>
      <c r="O11" s="29">
        <f t="shared" si="0"/>
        <v>4.1827837527379452E-2</v>
      </c>
      <c r="P11" s="29">
        <f t="shared" si="1"/>
        <v>9.7142640042738749E-3</v>
      </c>
    </row>
    <row r="12" spans="1:17" ht="18" customHeight="1" x14ac:dyDescent="0.2">
      <c r="A12" s="195"/>
      <c r="B12" s="37" t="s">
        <v>55</v>
      </c>
      <c r="C12" s="31"/>
      <c r="D12" s="31">
        <v>162.574462890625</v>
      </c>
      <c r="E12" s="31">
        <v>160.11111450195313</v>
      </c>
      <c r="F12" s="31">
        <v>163.08332824707031</v>
      </c>
      <c r="G12" s="31">
        <v>163.4888916015625</v>
      </c>
      <c r="H12" s="31">
        <v>161.65168762207031</v>
      </c>
      <c r="I12" s="31">
        <v>165.49382019042969</v>
      </c>
      <c r="J12" s="31">
        <v>165.29730224609375</v>
      </c>
      <c r="K12" s="31">
        <v>163.37704467773438</v>
      </c>
      <c r="L12" s="31">
        <v>173.25</v>
      </c>
      <c r="M12" s="31">
        <v>171.67924499511719</v>
      </c>
      <c r="N12" s="31">
        <v>175.63157653808594</v>
      </c>
      <c r="O12" s="29">
        <f t="shared" si="0"/>
        <v>8.0314665755625805E-2</v>
      </c>
      <c r="P12" s="29">
        <f t="shared" si="1"/>
        <v>6.2519316114467344E-2</v>
      </c>
    </row>
    <row r="13" spans="1:17" ht="18" customHeight="1" x14ac:dyDescent="0.2">
      <c r="A13" s="195"/>
      <c r="B13" s="37" t="s">
        <v>56</v>
      </c>
      <c r="C13" s="31"/>
      <c r="D13" s="31">
        <v>37.244682312011719</v>
      </c>
      <c r="E13" s="31">
        <v>37.161617279052734</v>
      </c>
      <c r="F13" s="31">
        <v>38.375</v>
      </c>
      <c r="G13" s="31">
        <v>38.366664886474609</v>
      </c>
      <c r="H13" s="31">
        <v>36.797752380371094</v>
      </c>
      <c r="I13" s="31">
        <v>37.592594146728516</v>
      </c>
      <c r="J13" s="31">
        <v>39.770271301269531</v>
      </c>
      <c r="K13" s="31">
        <v>38.426231384277344</v>
      </c>
      <c r="L13" s="31">
        <v>43</v>
      </c>
      <c r="M13" s="31">
        <v>40.113208770751953</v>
      </c>
      <c r="N13" s="31">
        <v>41.859649658203125</v>
      </c>
      <c r="O13" s="29">
        <f t="shared" si="0"/>
        <v>0.12390942974167996</v>
      </c>
      <c r="P13" s="29">
        <f t="shared" si="1"/>
        <v>5.2536185662552859E-2</v>
      </c>
    </row>
    <row r="14" spans="1:17" ht="18" customHeight="1" x14ac:dyDescent="0.2">
      <c r="A14" s="195"/>
      <c r="B14" s="37" t="s">
        <v>57</v>
      </c>
      <c r="C14" s="31"/>
      <c r="D14" s="31">
        <v>148.76026916503906</v>
      </c>
      <c r="E14" s="31">
        <v>147.24386596679688</v>
      </c>
      <c r="F14" s="31">
        <v>149.95686340332031</v>
      </c>
      <c r="G14" s="31">
        <v>150.90638732910156</v>
      </c>
      <c r="H14" s="31">
        <v>148.60748291015625</v>
      </c>
      <c r="I14" s="31">
        <v>150.26107788085938</v>
      </c>
      <c r="J14" s="31">
        <v>153.86930847167969</v>
      </c>
      <c r="K14" s="31">
        <v>150.8494873046875</v>
      </c>
      <c r="L14" s="31">
        <v>160.39901733398438</v>
      </c>
      <c r="M14" s="31">
        <v>156.91822814941406</v>
      </c>
      <c r="N14" s="31">
        <v>160.350830078125</v>
      </c>
      <c r="O14" s="29">
        <f t="shared" si="0"/>
        <v>7.7914358303741868E-2</v>
      </c>
      <c r="P14" s="29">
        <f t="shared" si="1"/>
        <v>4.212355063412964E-2</v>
      </c>
    </row>
    <row r="15" spans="1:17" ht="18" customHeight="1" x14ac:dyDescent="0.2">
      <c r="A15" s="195"/>
      <c r="B15" s="37" t="s">
        <v>58</v>
      </c>
      <c r="C15" s="33"/>
      <c r="D15" s="33">
        <v>62.441120147705078</v>
      </c>
      <c r="E15" s="33">
        <v>66.446861267089844</v>
      </c>
      <c r="F15" s="33">
        <v>66.537910461425781</v>
      </c>
      <c r="G15" s="33">
        <v>62.118190765380859</v>
      </c>
      <c r="H15" s="33">
        <v>55.45294189453125</v>
      </c>
      <c r="I15" s="33">
        <v>71.650550842285156</v>
      </c>
      <c r="J15" s="33">
        <v>67.159004211425781</v>
      </c>
      <c r="K15" s="33">
        <v>61.75811767578125</v>
      </c>
      <c r="L15" s="33">
        <v>72.51666259765625</v>
      </c>
      <c r="M15" s="33">
        <v>49.710468292236328</v>
      </c>
      <c r="N15" s="33">
        <v>71.389541625976563</v>
      </c>
      <c r="O15" s="29">
        <f t="shared" si="0"/>
        <v>0.14330975256535927</v>
      </c>
      <c r="P15" s="29">
        <f t="shared" si="1"/>
        <v>6.2992855004705958E-2</v>
      </c>
    </row>
    <row r="16" spans="1:17" ht="18" customHeight="1" x14ac:dyDescent="0.2">
      <c r="A16" s="195"/>
      <c r="B16" s="37" t="s">
        <v>63</v>
      </c>
      <c r="C16" s="33"/>
      <c r="D16" s="33">
        <f ca="1">194.3945*OFFSET(D$112,MATCH($N$1,$C$112:$C$113,0)-1,0)</f>
        <v>194.39449999999999</v>
      </c>
      <c r="E16" s="33">
        <f ca="1">217.996859375*OFFSET(E$112,MATCH($N$1,$C$112:$C$113,0)-1,0)</f>
        <v>217.99685937500001</v>
      </c>
      <c r="F16" s="33">
        <f ca="1">194.01*OFFSET(F$112,MATCH($N$1,$C$112:$C$113,0)-1,0)</f>
        <v>194.01</v>
      </c>
      <c r="G16" s="33">
        <f ca="1">190.697484375*OFFSET(G$112,MATCH($N$1,$C$112:$C$113,0)-1,0)</f>
        <v>190.69748437499999</v>
      </c>
      <c r="H16" s="33">
        <f ca="1">172.237484375*OFFSET(H$112,MATCH($N$1,$C$112:$C$113,0)-1,0)</f>
        <v>172.23748437500001</v>
      </c>
      <c r="I16" s="33">
        <f ca="1">205.649515625*OFFSET(I$112,MATCH($N$1,$C$112:$C$113,0)-1,0)</f>
        <v>205.64951562499999</v>
      </c>
      <c r="J16" s="33">
        <f ca="1">193.078984375*OFFSET(J$112,MATCH($N$1,$C$112:$C$113,0)-1,0)</f>
        <v>193.078984375</v>
      </c>
      <c r="K16" s="33">
        <f ca="1">187.125296875*OFFSET(K$112,MATCH($N$1,$C$112:$C$113,0)-1,0)</f>
        <v>187.125296875</v>
      </c>
      <c r="L16" s="33">
        <f ca="1">211.93765625*OFFSET(L$112,MATCH($N$1,$C$112:$C$113,0)-1,0)</f>
        <v>211.93765625</v>
      </c>
      <c r="M16" s="33">
        <f ca="1">110.772890625*OFFSET(M$112,MATCH($N$1,$C$112:$C$113,0)-1,0)</f>
        <v>110.772890625</v>
      </c>
      <c r="N16" s="33">
        <v>162.20587499999999</v>
      </c>
      <c r="O16" s="29">
        <f t="shared" ca="1" si="0"/>
        <v>-0.16558403144121878</v>
      </c>
      <c r="P16" s="29">
        <f t="shared" ca="1" si="1"/>
        <v>-0.15989885939651485</v>
      </c>
    </row>
    <row r="17" spans="1:16" ht="18" customHeight="1" x14ac:dyDescent="0.2">
      <c r="A17" s="195"/>
      <c r="B17" s="37" t="s">
        <v>60</v>
      </c>
      <c r="C17" s="31"/>
      <c r="D17" s="31">
        <v>159.18084716796875</v>
      </c>
      <c r="E17" s="31">
        <v>166.16162109375</v>
      </c>
      <c r="F17" s="31">
        <v>159.84375</v>
      </c>
      <c r="G17" s="31">
        <v>161.5</v>
      </c>
      <c r="H17" s="31">
        <v>152.34831237792969</v>
      </c>
      <c r="I17" s="31">
        <v>158.65432739257813</v>
      </c>
      <c r="J17" s="31">
        <v>152.10810852050781</v>
      </c>
      <c r="K17" s="31">
        <v>155.7213134765625</v>
      </c>
      <c r="L17" s="31">
        <v>162.88333129882813</v>
      </c>
      <c r="M17" s="31">
        <v>129.132080078125</v>
      </c>
      <c r="N17" s="31">
        <v>148.5614013671875</v>
      </c>
      <c r="O17" s="29">
        <f t="shared" si="0"/>
        <v>-6.671308759637104E-2</v>
      </c>
      <c r="P17" s="29">
        <f t="shared" si="1"/>
        <v>-2.3317015692441746E-2</v>
      </c>
    </row>
    <row r="18" spans="1:16" ht="18" customHeight="1" x14ac:dyDescent="0.2">
      <c r="A18" s="195"/>
      <c r="B18" s="37" t="s">
        <v>64</v>
      </c>
      <c r="C18" s="31"/>
      <c r="D18" s="31">
        <v>34.553192138671875</v>
      </c>
      <c r="E18" s="31">
        <v>35.010101318359375</v>
      </c>
      <c r="F18" s="31">
        <v>35.78125</v>
      </c>
      <c r="G18" s="31">
        <v>36.811111450195313</v>
      </c>
      <c r="H18" s="31">
        <v>38.348316192626953</v>
      </c>
      <c r="I18" s="31">
        <v>38.740741729736328</v>
      </c>
      <c r="J18" s="31">
        <v>39.648647308349609</v>
      </c>
      <c r="K18" s="31">
        <v>40.213115692138672</v>
      </c>
      <c r="L18" s="31">
        <v>41.266666412353516</v>
      </c>
      <c r="M18" s="31">
        <v>41.830188751220703</v>
      </c>
      <c r="N18" s="31">
        <v>42.75</v>
      </c>
      <c r="O18" s="29">
        <f t="shared" si="0"/>
        <v>0.23722288315452833</v>
      </c>
      <c r="P18" s="29">
        <f t="shared" si="1"/>
        <v>7.8220895344323055E-2</v>
      </c>
    </row>
    <row r="19" spans="1:16" ht="18" customHeight="1" x14ac:dyDescent="0.2">
      <c r="A19" s="195"/>
      <c r="B19" s="37" t="s">
        <v>65</v>
      </c>
      <c r="C19" s="38"/>
      <c r="D19" s="38">
        <v>0.39226529002189636</v>
      </c>
      <c r="E19" s="38">
        <v>0.39989295601844788</v>
      </c>
      <c r="F19" s="38">
        <v>0.41626843810081482</v>
      </c>
      <c r="G19" s="38">
        <v>0.38463276624679565</v>
      </c>
      <c r="H19" s="38">
        <v>0.36398789286613464</v>
      </c>
      <c r="I19" s="38">
        <v>0.45161423087120056</v>
      </c>
      <c r="J19" s="38">
        <v>0.44152152538299561</v>
      </c>
      <c r="K19" s="38">
        <v>0.39659386873245239</v>
      </c>
      <c r="L19" s="38">
        <v>0.4452061653137207</v>
      </c>
      <c r="M19" s="38">
        <v>0.38495832681655884</v>
      </c>
      <c r="N19" s="38">
        <v>0.48053896427154541</v>
      </c>
      <c r="O19" s="29">
        <f t="shared" si="0"/>
        <v>0.22503564932987466</v>
      </c>
      <c r="P19" s="29">
        <f t="shared" si="1"/>
        <v>8.8370411509845023E-2</v>
      </c>
    </row>
    <row r="20" spans="1:16" ht="18" customHeight="1" x14ac:dyDescent="0.2">
      <c r="A20" s="196"/>
      <c r="B20" s="39" t="s">
        <v>28</v>
      </c>
      <c r="C20" s="40"/>
      <c r="D20" s="40">
        <f ca="1">3113*OFFSET(D$112,MATCH($N$1,$C$112:$C$113,0)-1,0)</f>
        <v>3113</v>
      </c>
      <c r="E20" s="40">
        <f ca="1">3281*OFFSET(E$112,MATCH($N$1,$C$112:$C$113,0)-1,0)</f>
        <v>3281</v>
      </c>
      <c r="F20" s="40">
        <f ca="1">2916*OFFSET(F$112,MATCH($N$1,$C$112:$C$113,0)-1,0)</f>
        <v>2916</v>
      </c>
      <c r="G20" s="40">
        <f ca="1">3070*OFFSET(G$112,MATCH($N$1,$C$112:$C$113,0)-1,0)</f>
        <v>3070</v>
      </c>
      <c r="H20" s="40">
        <f ca="1">3106*OFFSET(H$112,MATCH($N$1,$C$112:$C$113,0)-1,0)</f>
        <v>3106</v>
      </c>
      <c r="I20" s="40">
        <f ca="1">2870*OFFSET(I$112,MATCH($N$1,$C$112:$C$113,0)-1,0)</f>
        <v>2870</v>
      </c>
      <c r="J20" s="40">
        <f ca="1">2875*OFFSET(J$112,MATCH($N$1,$C$112:$C$113,0)-1,0)</f>
        <v>2875</v>
      </c>
      <c r="K20" s="40">
        <f ca="1">3030*OFFSET(K$112,MATCH($N$1,$C$112:$C$113,0)-1,0)</f>
        <v>3030</v>
      </c>
      <c r="L20" s="40">
        <f ca="1">2923*OFFSET(L$112,MATCH($N$1,$C$112:$C$113,0)-1,0)</f>
        <v>2923</v>
      </c>
      <c r="M20" s="40">
        <f ca="1">2228*OFFSET(M$112,MATCH($N$1,$C$112:$C$113,0)-1,0)</f>
        <v>2228</v>
      </c>
      <c r="N20" s="40">
        <v>2272</v>
      </c>
      <c r="O20" s="34">
        <f t="shared" ca="1" si="0"/>
        <v>-0.27015740443302283</v>
      </c>
      <c r="P20" s="34">
        <f t="shared" ca="1" si="1"/>
        <v>-0.20973913043478262</v>
      </c>
    </row>
    <row r="21" spans="1:16" ht="18" customHeight="1" x14ac:dyDescent="0.2">
      <c r="A21" s="197" t="s">
        <v>29</v>
      </c>
      <c r="B21" s="35" t="s">
        <v>66</v>
      </c>
      <c r="C21" s="41"/>
      <c r="D21" s="41">
        <v>2.3455897512904103</v>
      </c>
      <c r="E21" s="41">
        <v>2.4334448649644824</v>
      </c>
      <c r="F21" s="41">
        <v>2.4824047124425221</v>
      </c>
      <c r="G21" s="41">
        <v>2.3154563733374309</v>
      </c>
      <c r="H21" s="41">
        <v>2.2142812605066986</v>
      </c>
      <c r="I21" s="41">
        <v>2.6469764598383465</v>
      </c>
      <c r="J21" s="41">
        <v>2.6222704447335929</v>
      </c>
      <c r="K21" s="41">
        <v>2.403754053084084</v>
      </c>
      <c r="L21" s="41">
        <v>2.5660184109601309</v>
      </c>
      <c r="M21" s="41">
        <v>2.2694035087478786</v>
      </c>
      <c r="N21" s="41">
        <v>2.7192853474331815</v>
      </c>
      <c r="O21" s="29">
        <f t="shared" si="0"/>
        <v>0.15931839569864473</v>
      </c>
      <c r="P21" s="29">
        <f t="shared" si="1"/>
        <v>3.6996528292658502E-2</v>
      </c>
    </row>
    <row r="22" spans="1:16" ht="18" customHeight="1" x14ac:dyDescent="0.2">
      <c r="A22" s="197"/>
      <c r="B22" s="37" t="s">
        <v>67</v>
      </c>
      <c r="C22" s="38"/>
      <c r="D22" s="38">
        <f ca="1">7.3023953738918*OFFSET(D$112,MATCH($N$1,$C$112:$C$113,0)-1,0)</f>
        <v>7.3023953738917999</v>
      </c>
      <c r="E22" s="38">
        <f ca="1">7.98357255570202*OFFSET(E$112,MATCH($N$1,$C$112:$C$113,0)-1,0)</f>
        <v>7.9835725557020201</v>
      </c>
      <c r="F22" s="38">
        <f ca="1">7.23814942370605*OFFSET(F$112,MATCH($N$1,$C$112:$C$113,0)-1,0)</f>
        <v>7.2381494237060497</v>
      </c>
      <c r="G22" s="38">
        <f ca="1">7.10825122456062*OFFSET(G$112,MATCH($N$1,$C$112:$C$113,0)-1,0)</f>
        <v>7.10825122456062</v>
      </c>
      <c r="H22" s="38">
        <f ca="1">6.87758342440601*OFFSET(H$112,MATCH($N$1,$C$112:$C$113,0)-1,0)</f>
        <v>6.8775834244060103</v>
      </c>
      <c r="I22" s="38">
        <f ca="1">7.59728181343277*OFFSET(I$112,MATCH($N$1,$C$112:$C$113,0)-1,0)</f>
        <v>7.5972818134327698</v>
      </c>
      <c r="J22" s="38">
        <f ca="1">7.53890442794272*OFFSET(J$112,MATCH($N$1,$C$112:$C$113,0)-1,0)</f>
        <v>7.53890442794272</v>
      </c>
      <c r="K22" s="38">
        <f ca="1">7.28330473346399*OFFSET(K$112,MATCH($N$1,$C$112:$C$113,0)-1,0)</f>
        <v>7.2833047334639902</v>
      </c>
      <c r="L22" s="38">
        <f ca="1">7.49946161933294*OFFSET(L$112,MATCH($N$1,$C$112:$C$113,0)-1,0)</f>
        <v>7.4994616193329398</v>
      </c>
      <c r="M22" s="38">
        <f ca="1">5.05705126696184*OFFSET(M$112,MATCH($N$1,$C$112:$C$113,0)-1,0)</f>
        <v>5.0570512669618397</v>
      </c>
      <c r="N22" s="38">
        <v>6.1785528959690179</v>
      </c>
      <c r="O22" s="29">
        <f t="shared" ca="1" si="0"/>
        <v>-0.15390052446911431</v>
      </c>
      <c r="P22" s="29">
        <f t="shared" ca="1" si="1"/>
        <v>-0.18044419384487759</v>
      </c>
    </row>
    <row r="23" spans="1:16" ht="18" customHeight="1" x14ac:dyDescent="0.2">
      <c r="A23" s="197"/>
      <c r="B23" s="37" t="s">
        <v>11</v>
      </c>
      <c r="C23" s="38"/>
      <c r="D23" s="38">
        <f ca="1">6.12767598937092*OFFSET(D$112,MATCH($N$1,$C$112:$C$113,0)-1,0)</f>
        <v>6.1276759893709203</v>
      </c>
      <c r="E23" s="38">
        <f ca="1">6.61938662167259*OFFSET(E$112,MATCH($N$1,$C$112:$C$113,0)-1,0)</f>
        <v>6.6193866216725903</v>
      </c>
      <c r="F23" s="38">
        <f ca="1">6.39458224809437*OFFSET(F$112,MATCH($N$1,$C$112:$C$113,0)-1,0)</f>
        <v>6.3945822480943697</v>
      </c>
      <c r="G23" s="38">
        <f ca="1">6.31416589550343*OFFSET(G$112,MATCH($N$1,$C$112:$C$113,0)-1,0)</f>
        <v>6.3141658955034297</v>
      </c>
      <c r="H23" s="38">
        <f ca="1">5.65421720118198*OFFSET(H$112,MATCH($N$1,$C$112:$C$113,0)-1,0)</f>
        <v>5.6542172011819796</v>
      </c>
      <c r="I23" s="38">
        <f ca="1">6.27147009864899*OFFSET(I$112,MATCH($N$1,$C$112:$C$113,0)-1,0)</f>
        <v>6.2714700986489902</v>
      </c>
      <c r="J23" s="38">
        <f ca="1">6.35950811262153*OFFSET(J$112,MATCH($N$1,$C$112:$C$113,0)-1,0)</f>
        <v>6.3595081126215298</v>
      </c>
      <c r="K23" s="38">
        <f ca="1">6.32187218560903*OFFSET(K$112,MATCH($N$1,$C$112:$C$113,0)-1,0)</f>
        <v>6.3218721856090303</v>
      </c>
      <c r="L23" s="38">
        <f ca="1">6.61958612107165*OFFSET(L$112,MATCH($N$1,$C$112:$C$113,0)-1,0)</f>
        <v>6.6195861210716496</v>
      </c>
      <c r="M23" s="38">
        <f ca="1">4.77911764380693*OFFSET(M$112,MATCH($N$1,$C$112:$C$113,0)-1,0)</f>
        <v>4.7791176438069298</v>
      </c>
      <c r="N23" s="38">
        <v>5.200727251734043</v>
      </c>
      <c r="O23" s="29">
        <f t="shared" ca="1" si="0"/>
        <v>-0.15127247903524346</v>
      </c>
      <c r="P23" s="29">
        <f t="shared" ca="1" si="1"/>
        <v>-0.18221234101230066</v>
      </c>
    </row>
    <row r="24" spans="1:16" ht="18" customHeight="1" x14ac:dyDescent="0.2">
      <c r="A24" s="197"/>
      <c r="B24" s="37" t="s">
        <v>12</v>
      </c>
      <c r="C24" s="38"/>
      <c r="D24" s="38">
        <f ca="1">1.309634526535*OFFSET(D$112,MATCH($N$1,$C$112:$C$113,0)-1,0)</f>
        <v>1.309634526535</v>
      </c>
      <c r="E24" s="38">
        <f ca="1">1.82706106438057*OFFSET(E$112,MATCH($N$1,$C$112:$C$113,0)-1,0)</f>
        <v>1.82706106438057</v>
      </c>
      <c r="F24" s="38">
        <f ca="1">1.18076318725648*OFFSET(F$112,MATCH($N$1,$C$112:$C$113,0)-1,0)</f>
        <v>1.1807631872564801</v>
      </c>
      <c r="G24" s="38">
        <f ca="1">1.29297949153533*OFFSET(G$112,MATCH($N$1,$C$112:$C$113,0)-1,0)</f>
        <v>1.2929794915353301</v>
      </c>
      <c r="H24" s="38">
        <f ca="1">1.39877588649728*OFFSET(H$112,MATCH($N$1,$C$112:$C$113,0)-1,0)</f>
        <v>1.3987758864972799</v>
      </c>
      <c r="I24" s="38">
        <f ca="1">1.59497331744021*OFFSET(I$112,MATCH($N$1,$C$112:$C$113,0)-1,0)</f>
        <v>1.5949733174402101</v>
      </c>
      <c r="J24" s="38">
        <f ca="1">1.3435705265656*OFFSET(J$112,MATCH($N$1,$C$112:$C$113,0)-1,0)</f>
        <v>1.3435705265655999</v>
      </c>
      <c r="K24" s="38">
        <f ca="1">1.0519380874468*OFFSET(K$112,MATCH($N$1,$C$112:$C$113,0)-1,0)</f>
        <v>1.0519380874468001</v>
      </c>
      <c r="L24" s="38">
        <f ca="1">0.956664917678209*OFFSET(L$112,MATCH($N$1,$C$112:$C$113,0)-1,0)</f>
        <v>0.95666491767820905</v>
      </c>
      <c r="M24" s="38">
        <f ca="1">0.813350945183562*OFFSET(M$112,MATCH($N$1,$C$112:$C$113,0)-1,0)</f>
        <v>0.81335094518356199</v>
      </c>
      <c r="N24" s="38">
        <v>1.0719359794690544</v>
      </c>
      <c r="O24" s="29">
        <f t="shared" ca="1" si="0"/>
        <v>-0.18149990875304944</v>
      </c>
      <c r="P24" s="29">
        <f t="shared" ca="1" si="1"/>
        <v>-0.20217364234007926</v>
      </c>
    </row>
    <row r="25" spans="1:16" ht="18" customHeight="1" x14ac:dyDescent="0.2">
      <c r="A25" s="197"/>
      <c r="B25" s="37" t="s">
        <v>68</v>
      </c>
      <c r="C25" s="33"/>
      <c r="D25" s="33">
        <f ca="1">46.29*OFFSET(D$112,MATCH($N$1,$C$112:$C$113,0)-1,0)</f>
        <v>46.29</v>
      </c>
      <c r="E25" s="33">
        <f ca="1">45.87*OFFSET(E$112,MATCH($N$1,$C$112:$C$113,0)-1,0)</f>
        <v>45.87</v>
      </c>
      <c r="F25" s="33">
        <f ca="1">57.66*OFFSET(F$112,MATCH($N$1,$C$112:$C$113,0)-1,0)</f>
        <v>57.66</v>
      </c>
      <c r="G25" s="33">
        <f ca="1">51.07*OFFSET(G$112,MATCH($N$1,$C$112:$C$113,0)-1,0)</f>
        <v>51.07</v>
      </c>
      <c r="H25" s="33">
        <f ca="1">43.24*OFFSET(H$112,MATCH($N$1,$C$112:$C$113,0)-1,0)</f>
        <v>43.24</v>
      </c>
      <c r="I25" s="33">
        <f ca="1">54.45*OFFSET(I$112,MATCH($N$1,$C$112:$C$113,0)-1,0)</f>
        <v>54.45</v>
      </c>
      <c r="J25" s="33">
        <f ca="1">50.62*OFFSET(J$112,MATCH($N$1,$C$112:$C$113,0)-1,0)</f>
        <v>50.62</v>
      </c>
      <c r="K25" s="33">
        <f ca="1">39.93*OFFSET(K$112,MATCH($N$1,$C$112:$C$113,0)-1,0)</f>
        <v>39.93</v>
      </c>
      <c r="L25" s="33">
        <f ca="1">51.22*OFFSET(L$112,MATCH($N$1,$C$112:$C$113,0)-1,0)</f>
        <v>51.22</v>
      </c>
      <c r="M25" s="33">
        <f ca="1">41.3*OFFSET(M$112,MATCH($N$1,$C$112:$C$113,0)-1,0)</f>
        <v>41.3</v>
      </c>
      <c r="N25" s="33">
        <v>50.52</v>
      </c>
      <c r="O25" s="29">
        <f t="shared" ca="1" si="0"/>
        <v>9.1380427738172482E-2</v>
      </c>
      <c r="P25" s="29">
        <f t="shared" ca="1" si="1"/>
        <v>-1.9755037534570194E-3</v>
      </c>
    </row>
    <row r="26" spans="1:16" ht="18" customHeight="1" x14ac:dyDescent="0.2">
      <c r="A26" s="198"/>
      <c r="B26" s="37" t="s">
        <v>69</v>
      </c>
      <c r="C26" s="33"/>
      <c r="D26" s="33">
        <f ca="1">8.31*OFFSET(D$112,MATCH($N$1,$C$112:$C$113,0)-1,0)</f>
        <v>8.31</v>
      </c>
      <c r="E26" s="33">
        <f ca="1">10.5*OFFSET(E$112,MATCH($N$1,$C$112:$C$113,0)-1,0)</f>
        <v>10.5</v>
      </c>
      <c r="F26" s="33">
        <f ca="1">9.39*OFFSET(F$112,MATCH($N$1,$C$112:$C$113,0)-1,0)</f>
        <v>9.39</v>
      </c>
      <c r="G26" s="33">
        <f ca="1">9.29*OFFSET(G$112,MATCH($N$1,$C$112:$C$113,0)-1,0)</f>
        <v>9.2899999999999991</v>
      </c>
      <c r="H26" s="33">
        <f ca="1">8.79*OFFSET(H$112,MATCH($N$1,$C$112:$C$113,0)-1,0)</f>
        <v>8.7899999999999991</v>
      </c>
      <c r="I26" s="33">
        <f ca="1">11.44*OFFSET(I$112,MATCH($N$1,$C$112:$C$113,0)-1,0)</f>
        <v>11.44</v>
      </c>
      <c r="J26" s="33">
        <f ca="1">9.02*OFFSET(J$112,MATCH($N$1,$C$112:$C$113,0)-1,0)</f>
        <v>9.02</v>
      </c>
      <c r="K26" s="33">
        <f ca="1">5.76*OFFSET(K$112,MATCH($N$1,$C$112:$C$113,0)-1,0)</f>
        <v>5.76</v>
      </c>
      <c r="L26" s="33">
        <f ca="1">6.53*OFFSET(L$112,MATCH($N$1,$C$112:$C$113,0)-1,0)</f>
        <v>6.53</v>
      </c>
      <c r="M26" s="33">
        <f ca="1">6.63*OFFSET(M$112,MATCH($N$1,$C$112:$C$113,0)-1,0)</f>
        <v>6.63</v>
      </c>
      <c r="N26" s="33">
        <v>8.75</v>
      </c>
      <c r="O26" s="34">
        <f t="shared" ca="1" si="0"/>
        <v>5.2948255114320032E-2</v>
      </c>
      <c r="P26" s="34">
        <f t="shared" ca="1" si="1"/>
        <v>-2.9933481152993303E-2</v>
      </c>
    </row>
    <row r="27" spans="1:16" ht="18" customHeight="1" x14ac:dyDescent="0.2">
      <c r="A27" s="187" t="s">
        <v>30</v>
      </c>
      <c r="B27" s="35" t="s">
        <v>63</v>
      </c>
      <c r="C27" s="36"/>
      <c r="D27" s="36">
        <f ca="1">194.4*OFFSET(D$112,MATCH($N$1,$C$112:$C$113,0)-1,0)</f>
        <v>194.4</v>
      </c>
      <c r="E27" s="36">
        <f ca="1">218*OFFSET(E$112,MATCH($N$1,$C$112:$C$113,0)-1,0)</f>
        <v>218</v>
      </c>
      <c r="F27" s="36">
        <f ca="1">194*OFFSET(F$112,MATCH($N$1,$C$112:$C$113,0)-1,0)</f>
        <v>194</v>
      </c>
      <c r="G27" s="36">
        <f ca="1">190.7*OFFSET(G$112,MATCH($N$1,$C$112:$C$113,0)-1,0)</f>
        <v>190.7</v>
      </c>
      <c r="H27" s="36">
        <f ca="1">172.2*OFFSET(H$112,MATCH($N$1,$C$112:$C$113,0)-1,0)</f>
        <v>172.2</v>
      </c>
      <c r="I27" s="36">
        <f ca="1">205.6*OFFSET(I$112,MATCH($N$1,$C$112:$C$113,0)-1,0)</f>
        <v>205.6</v>
      </c>
      <c r="J27" s="36">
        <f ca="1">193.1*OFFSET(J$112,MATCH($N$1,$C$112:$C$113,0)-1,0)</f>
        <v>193.1</v>
      </c>
      <c r="K27" s="36">
        <f ca="1">187.1*OFFSET(K$112,MATCH($N$1,$C$112:$C$113,0)-1,0)</f>
        <v>187.1</v>
      </c>
      <c r="L27" s="36">
        <f ca="1">211.9*OFFSET(L$112,MATCH($N$1,$C$112:$C$113,0)-1,0)</f>
        <v>211.9</v>
      </c>
      <c r="M27" s="36">
        <f ca="1">110.8*OFFSET(M$112,MATCH($N$1,$C$112:$C$113,0)-1,0)</f>
        <v>110.8</v>
      </c>
      <c r="N27" s="36">
        <v>162.20000000000002</v>
      </c>
      <c r="O27" s="29">
        <f t="shared" ca="1" si="0"/>
        <v>-0.16563786008230447</v>
      </c>
      <c r="P27" s="29">
        <f t="shared" ca="1" si="1"/>
        <v>-0.16002071465561873</v>
      </c>
    </row>
    <row r="28" spans="1:16" ht="18" customHeight="1" x14ac:dyDescent="0.2">
      <c r="A28" s="199"/>
      <c r="B28" s="37" t="s">
        <v>70</v>
      </c>
      <c r="C28" s="33"/>
      <c r="D28" s="33">
        <f ca="1">3.6*OFFSET(D$112,MATCH($N$1,$C$112:$C$113,0)-1,0)</f>
        <v>3.6</v>
      </c>
      <c r="E28" s="33">
        <f ca="1">12.6*OFFSET(E$112,MATCH($N$1,$C$112:$C$113,0)-1,0)</f>
        <v>12.6</v>
      </c>
      <c r="F28" s="33">
        <f ca="1">9*OFFSET(F$112,MATCH($N$1,$C$112:$C$113,0)-1,0)</f>
        <v>9</v>
      </c>
      <c r="G28" s="33">
        <f ca="1">13.4*OFFSET(G$112,MATCH($N$1,$C$112:$C$113,0)-1,0)</f>
        <v>13.4</v>
      </c>
      <c r="H28" s="33">
        <f ca="1">4.4*OFFSET(H$112,MATCH($N$1,$C$112:$C$113,0)-1,0)</f>
        <v>4.4000000000000004</v>
      </c>
      <c r="I28" s="33">
        <f ca="1">7.3*OFFSET(I$112,MATCH($N$1,$C$112:$C$113,0)-1,0)</f>
        <v>7.3</v>
      </c>
      <c r="J28" s="33">
        <f ca="1">4.2*OFFSET(J$112,MATCH($N$1,$C$112:$C$113,0)-1,0)</f>
        <v>4.2</v>
      </c>
      <c r="K28" s="33">
        <f ca="1">2.3*OFFSET(K$112,MATCH($N$1,$C$112:$C$113,0)-1,0)</f>
        <v>2.2999999999999998</v>
      </c>
      <c r="L28" s="33">
        <f ca="1">2.2*OFFSET(L$112,MATCH($N$1,$C$112:$C$113,0)-1,0)</f>
        <v>2.2000000000000002</v>
      </c>
      <c r="M28" s="33">
        <f ca="1">11.7*OFFSET(M$112,MATCH($N$1,$C$112:$C$113,0)-1,0)</f>
        <v>11.7</v>
      </c>
      <c r="N28" s="33">
        <v>2.5</v>
      </c>
      <c r="O28" s="29">
        <f t="shared" ca="1" si="0"/>
        <v>-0.30555555555555558</v>
      </c>
      <c r="P28" s="29">
        <f t="shared" ca="1" si="1"/>
        <v>-0.40476190476190477</v>
      </c>
    </row>
    <row r="29" spans="1:16" ht="18" customHeight="1" x14ac:dyDescent="0.2">
      <c r="A29" s="199"/>
      <c r="B29" s="42" t="s">
        <v>71</v>
      </c>
      <c r="C29" s="43"/>
      <c r="D29" s="43">
        <f ca="1">198*OFFSET(D$112,MATCH($N$1,$C$112:$C$113,0)-1,0)</f>
        <v>198</v>
      </c>
      <c r="E29" s="43">
        <f ca="1">230.6*OFFSET(E$112,MATCH($N$1,$C$112:$C$113,0)-1,0)</f>
        <v>230.6</v>
      </c>
      <c r="F29" s="43">
        <f ca="1">203*OFFSET(F$112,MATCH($N$1,$C$112:$C$113,0)-1,0)</f>
        <v>203</v>
      </c>
      <c r="G29" s="43">
        <f ca="1">204.1*OFFSET(G$112,MATCH($N$1,$C$112:$C$113,0)-1,0)</f>
        <v>204.1</v>
      </c>
      <c r="H29" s="43">
        <f ca="1">176.6*OFFSET(H$112,MATCH($N$1,$C$112:$C$113,0)-1,0)</f>
        <v>176.6</v>
      </c>
      <c r="I29" s="43">
        <f ca="1">212.9*OFFSET(I$112,MATCH($N$1,$C$112:$C$113,0)-1,0)</f>
        <v>212.9</v>
      </c>
      <c r="J29" s="43">
        <f ca="1">197.3*OFFSET(J$112,MATCH($N$1,$C$112:$C$113,0)-1,0)</f>
        <v>197.3</v>
      </c>
      <c r="K29" s="43">
        <f ca="1">189.5*OFFSET(K$112,MATCH($N$1,$C$112:$C$113,0)-1,0)</f>
        <v>189.5</v>
      </c>
      <c r="L29" s="43">
        <f ca="1">214.1*OFFSET(L$112,MATCH($N$1,$C$112:$C$113,0)-1,0)</f>
        <v>214.1</v>
      </c>
      <c r="M29" s="43">
        <f ca="1">122.5*OFFSET(M$112,MATCH($N$1,$C$112:$C$113,0)-1,0)</f>
        <v>122.5</v>
      </c>
      <c r="N29" s="43">
        <v>164.70000000000002</v>
      </c>
      <c r="O29" s="29">
        <f t="shared" ca="1" si="0"/>
        <v>-0.1681818181818181</v>
      </c>
      <c r="P29" s="29">
        <f t="shared" ca="1" si="1"/>
        <v>-0.16523061327927011</v>
      </c>
    </row>
    <row r="30" spans="1:16" ht="18" customHeight="1" x14ac:dyDescent="0.2">
      <c r="A30" s="199"/>
      <c r="B30" s="37" t="s">
        <v>72</v>
      </c>
      <c r="C30" s="33"/>
      <c r="D30" s="33">
        <f ca="1">42.6*OFFSET(D$112,MATCH($N$1,$C$112:$C$113,0)-1,0)</f>
        <v>42.6</v>
      </c>
      <c r="E30" s="33">
        <f ca="1">44.7*OFFSET(E$112,MATCH($N$1,$C$112:$C$113,0)-1,0)</f>
        <v>44.7</v>
      </c>
      <c r="F30" s="33">
        <f ca="1">41.6*OFFSET(F$112,MATCH($N$1,$C$112:$C$113,0)-1,0)</f>
        <v>41.6</v>
      </c>
      <c r="G30" s="33">
        <f ca="1">37.8*OFFSET(G$112,MATCH($N$1,$C$112:$C$113,0)-1,0)</f>
        <v>37.799999999999997</v>
      </c>
      <c r="H30" s="33">
        <f ca="1">24.2*OFFSET(H$112,MATCH($N$1,$C$112:$C$113,0)-1,0)</f>
        <v>24.2</v>
      </c>
      <c r="I30" s="33">
        <f ca="1">24.2*OFFSET(I$112,MATCH($N$1,$C$112:$C$113,0)-1,0)</f>
        <v>24.2</v>
      </c>
      <c r="J30" s="33">
        <f ca="1">28.5*OFFSET(J$112,MATCH($N$1,$C$112:$C$113,0)-1,0)</f>
        <v>28.5</v>
      </c>
      <c r="K30" s="33">
        <f ca="1">33.4*OFFSET(K$112,MATCH($N$1,$C$112:$C$113,0)-1,0)</f>
        <v>33.4</v>
      </c>
      <c r="L30" s="33">
        <f ca="1">36.1*OFFSET(L$112,MATCH($N$1,$C$112:$C$113,0)-1,0)</f>
        <v>36.1</v>
      </c>
      <c r="M30" s="33">
        <f ca="1">19.9*OFFSET(M$112,MATCH($N$1,$C$112:$C$113,0)-1,0)</f>
        <v>19.899999999999999</v>
      </c>
      <c r="N30" s="33">
        <v>29</v>
      </c>
      <c r="O30" s="29">
        <f t="shared" ca="1" si="0"/>
        <v>-0.31924882629107981</v>
      </c>
      <c r="P30" s="29">
        <f t="shared" ca="1" si="1"/>
        <v>1.7543859649122806E-2</v>
      </c>
    </row>
    <row r="31" spans="1:16" ht="18" customHeight="1" x14ac:dyDescent="0.2">
      <c r="A31" s="199"/>
      <c r="B31" s="37" t="s">
        <v>73</v>
      </c>
      <c r="C31" s="33"/>
      <c r="D31" s="33">
        <f ca="1">47.4*OFFSET(D$112,MATCH($N$1,$C$112:$C$113,0)-1,0)</f>
        <v>47.4</v>
      </c>
      <c r="E31" s="33">
        <f ca="1">54*OFFSET(E$112,MATCH($N$1,$C$112:$C$113,0)-1,0)</f>
        <v>54</v>
      </c>
      <c r="F31" s="33">
        <f ca="1">50.8*OFFSET(F$112,MATCH($N$1,$C$112:$C$113,0)-1,0)</f>
        <v>50.8</v>
      </c>
      <c r="G31" s="33">
        <f ca="1">53.6*OFFSET(G$112,MATCH($N$1,$C$112:$C$113,0)-1,0)</f>
        <v>53.6</v>
      </c>
      <c r="H31" s="33">
        <f ca="1">47*OFFSET(H$112,MATCH($N$1,$C$112:$C$113,0)-1,0)</f>
        <v>47</v>
      </c>
      <c r="I31" s="33">
        <f ca="1">64.1*OFFSET(I$112,MATCH($N$1,$C$112:$C$113,0)-1,0)</f>
        <v>64.099999999999994</v>
      </c>
      <c r="J31" s="33">
        <f ca="1">59.9*OFFSET(J$112,MATCH($N$1,$C$112:$C$113,0)-1,0)</f>
        <v>59.9</v>
      </c>
      <c r="K31" s="33">
        <f ca="1">58.6*OFFSET(K$112,MATCH($N$1,$C$112:$C$113,0)-1,0)</f>
        <v>58.6</v>
      </c>
      <c r="L31" s="33">
        <f ca="1">63.2*OFFSET(L$112,MATCH($N$1,$C$112:$C$113,0)-1,0)</f>
        <v>63.2</v>
      </c>
      <c r="M31" s="33">
        <f ca="1">33.9*OFFSET(M$112,MATCH($N$1,$C$112:$C$113,0)-1,0)</f>
        <v>33.9</v>
      </c>
      <c r="N31" s="33">
        <v>49.7</v>
      </c>
      <c r="O31" s="29">
        <f t="shared" ca="1" si="0"/>
        <v>4.8523206751054947E-2</v>
      </c>
      <c r="P31" s="29">
        <f t="shared" ca="1" si="1"/>
        <v>-0.17028380634390644</v>
      </c>
    </row>
    <row r="32" spans="1:16" ht="18" customHeight="1" x14ac:dyDescent="0.2">
      <c r="A32" s="199"/>
      <c r="B32" s="37" t="s">
        <v>74</v>
      </c>
      <c r="C32" s="33"/>
      <c r="D32" s="33">
        <f ca="1">29.9*OFFSET(D$112,MATCH($N$1,$C$112:$C$113,0)-1,0)</f>
        <v>29.9</v>
      </c>
      <c r="E32" s="33">
        <f ca="1">30.6*OFFSET(E$112,MATCH($N$1,$C$112:$C$113,0)-1,0)</f>
        <v>30.6</v>
      </c>
      <c r="F32" s="33">
        <f ca="1">28.4*OFFSET(F$112,MATCH($N$1,$C$112:$C$113,0)-1,0)</f>
        <v>28.4</v>
      </c>
      <c r="G32" s="33">
        <f ca="1">27.1*OFFSET(G$112,MATCH($N$1,$C$112:$C$113,0)-1,0)</f>
        <v>27.1</v>
      </c>
      <c r="H32" s="33">
        <f ca="1">24.9*OFFSET(H$112,MATCH($N$1,$C$112:$C$113,0)-1,0)</f>
        <v>24.9</v>
      </c>
      <c r="I32" s="33">
        <f ca="1">27.6*OFFSET(I$112,MATCH($N$1,$C$112:$C$113,0)-1,0)</f>
        <v>27.6</v>
      </c>
      <c r="J32" s="33">
        <f ca="1">25.7*OFFSET(J$112,MATCH($N$1,$C$112:$C$113,0)-1,0)</f>
        <v>25.7</v>
      </c>
      <c r="K32" s="33">
        <f ca="1">20.8*OFFSET(K$112,MATCH($N$1,$C$112:$C$113,0)-1,0)</f>
        <v>20.8</v>
      </c>
      <c r="L32" s="33">
        <f ca="1">25.6*OFFSET(L$112,MATCH($N$1,$C$112:$C$113,0)-1,0)</f>
        <v>25.6</v>
      </c>
      <c r="M32" s="33">
        <f ca="1">16.6*OFFSET(M$112,MATCH($N$1,$C$112:$C$113,0)-1,0)</f>
        <v>16.600000000000001</v>
      </c>
      <c r="N32" s="33">
        <v>24.3</v>
      </c>
      <c r="O32" s="29">
        <f t="shared" ca="1" si="0"/>
        <v>-0.18729096989966548</v>
      </c>
      <c r="P32" s="29">
        <f t="shared" ca="1" si="1"/>
        <v>-5.4474708171206171E-2</v>
      </c>
    </row>
    <row r="33" spans="1:16" ht="18" customHeight="1" x14ac:dyDescent="0.2">
      <c r="A33" s="199"/>
      <c r="B33" s="37" t="s">
        <v>75</v>
      </c>
      <c r="C33" s="33"/>
      <c r="D33" s="33">
        <f ca="1">119.8*OFFSET(D$112,MATCH($N$1,$C$112:$C$113,0)-1,0)</f>
        <v>119.8</v>
      </c>
      <c r="E33" s="33">
        <f ca="1">129.2*OFFSET(E$112,MATCH($N$1,$C$112:$C$113,0)-1,0)</f>
        <v>129.19999999999999</v>
      </c>
      <c r="F33" s="33">
        <f ca="1">120.8*OFFSET(F$112,MATCH($N$1,$C$112:$C$113,0)-1,0)</f>
        <v>120.8</v>
      </c>
      <c r="G33" s="33">
        <f ca="1">118.4*OFFSET(G$112,MATCH($N$1,$C$112:$C$113,0)-1,0)</f>
        <v>118.4</v>
      </c>
      <c r="H33" s="33">
        <f ca="1">96.2*OFFSET(H$112,MATCH($N$1,$C$112:$C$113,0)-1,0)</f>
        <v>96.2</v>
      </c>
      <c r="I33" s="33">
        <f ca="1">115.8*OFFSET(I$112,MATCH($N$1,$C$112:$C$113,0)-1,0)</f>
        <v>115.8</v>
      </c>
      <c r="J33" s="33">
        <f ca="1">114.1*OFFSET(J$112,MATCH($N$1,$C$112:$C$113,0)-1,0)</f>
        <v>114.1</v>
      </c>
      <c r="K33" s="33">
        <f ca="1">112.7*OFFSET(K$112,MATCH($N$1,$C$112:$C$113,0)-1,0)</f>
        <v>112.7</v>
      </c>
      <c r="L33" s="33">
        <f ca="1">125*OFFSET(L$112,MATCH($N$1,$C$112:$C$113,0)-1,0)</f>
        <v>125</v>
      </c>
      <c r="M33" s="33">
        <f ca="1">70.4*OFFSET(M$112,MATCH($N$1,$C$112:$C$113,0)-1,0)</f>
        <v>70.400000000000006</v>
      </c>
      <c r="N33" s="33">
        <v>103.10000000000001</v>
      </c>
      <c r="O33" s="29">
        <f t="shared" ca="1" si="0"/>
        <v>-0.13939899833055083</v>
      </c>
      <c r="P33" s="29">
        <f t="shared" ca="1" si="1"/>
        <v>-9.6406660823838614E-2</v>
      </c>
    </row>
    <row r="34" spans="1:16" ht="18" customHeight="1" x14ac:dyDescent="0.2">
      <c r="A34" s="199"/>
      <c r="B34" s="37" t="s">
        <v>76</v>
      </c>
      <c r="C34" s="33"/>
      <c r="D34" s="33">
        <f ca="1">43.3*OFFSET(D$112,MATCH($N$1,$C$112:$C$113,0)-1,0)</f>
        <v>43.3</v>
      </c>
      <c r="E34" s="33">
        <f ca="1">51.5*OFFSET(E$112,MATCH($N$1,$C$112:$C$113,0)-1,0)</f>
        <v>51.5</v>
      </c>
      <c r="F34" s="33">
        <f ca="1">50.6*OFFSET(F$112,MATCH($N$1,$C$112:$C$113,0)-1,0)</f>
        <v>50.6</v>
      </c>
      <c r="G34" s="33">
        <f ca="1">51*OFFSET(G$112,MATCH($N$1,$C$112:$C$113,0)-1,0)</f>
        <v>51</v>
      </c>
      <c r="H34" s="33">
        <f ca="1">45.4*OFFSET(H$112,MATCH($N$1,$C$112:$C$113,0)-1,0)</f>
        <v>45.4</v>
      </c>
      <c r="I34" s="33">
        <f ca="1">53.9*OFFSET(I$112,MATCH($N$1,$C$112:$C$113,0)-1,0)</f>
        <v>53.9</v>
      </c>
      <c r="J34" s="33">
        <f ca="1">48.8*OFFSET(J$112,MATCH($N$1,$C$112:$C$113,0)-1,0)</f>
        <v>48.8</v>
      </c>
      <c r="K34" s="33">
        <f ca="1">49.7*OFFSET(K$112,MATCH($N$1,$C$112:$C$113,0)-1,0)</f>
        <v>49.7</v>
      </c>
      <c r="L34" s="33">
        <f ca="1">62.1*OFFSET(L$112,MATCH($N$1,$C$112:$C$113,0)-1,0)</f>
        <v>62.1</v>
      </c>
      <c r="M34" s="33">
        <f ca="1">34.2*OFFSET(M$112,MATCH($N$1,$C$112:$C$113,0)-1,0)</f>
        <v>34.200000000000003</v>
      </c>
      <c r="N34" s="33">
        <v>33.4</v>
      </c>
      <c r="O34" s="29">
        <f t="shared" ca="1" si="0"/>
        <v>-0.22863741339491916</v>
      </c>
      <c r="P34" s="29">
        <f t="shared" ca="1" si="1"/>
        <v>-0.31557377049180324</v>
      </c>
    </row>
    <row r="35" spans="1:16" ht="18" customHeight="1" x14ac:dyDescent="0.2">
      <c r="A35" s="199"/>
      <c r="B35" s="37" t="s">
        <v>77</v>
      </c>
      <c r="C35" s="33"/>
      <c r="D35" s="33">
        <f ca="1">163.1*OFFSET(D$112,MATCH($N$1,$C$112:$C$113,0)-1,0)</f>
        <v>163.1</v>
      </c>
      <c r="E35" s="33">
        <f ca="1">180.7*OFFSET(E$112,MATCH($N$1,$C$112:$C$113,0)-1,0)</f>
        <v>180.7</v>
      </c>
      <c r="F35" s="33">
        <f ca="1">171.4*OFFSET(F$112,MATCH($N$1,$C$112:$C$113,0)-1,0)</f>
        <v>171.4</v>
      </c>
      <c r="G35" s="33">
        <f ca="1">169.4*OFFSET(G$112,MATCH($N$1,$C$112:$C$113,0)-1,0)</f>
        <v>169.4</v>
      </c>
      <c r="H35" s="33">
        <f ca="1">141.6*OFFSET(H$112,MATCH($N$1,$C$112:$C$113,0)-1,0)</f>
        <v>141.6</v>
      </c>
      <c r="I35" s="33">
        <f ca="1">169.8*OFFSET(I$112,MATCH($N$1,$C$112:$C$113,0)-1,0)</f>
        <v>169.8</v>
      </c>
      <c r="J35" s="33">
        <f ca="1">162.9*OFFSET(J$112,MATCH($N$1,$C$112:$C$113,0)-1,0)</f>
        <v>162.9</v>
      </c>
      <c r="K35" s="33">
        <f ca="1">162.4*OFFSET(K$112,MATCH($N$1,$C$112:$C$113,0)-1,0)</f>
        <v>162.4</v>
      </c>
      <c r="L35" s="33">
        <f ca="1">187.1*OFFSET(L$112,MATCH($N$1,$C$112:$C$113,0)-1,0)</f>
        <v>187.1</v>
      </c>
      <c r="M35" s="33">
        <f ca="1">104.7*OFFSET(M$112,MATCH($N$1,$C$112:$C$113,0)-1,0)</f>
        <v>104.7</v>
      </c>
      <c r="N35" s="33">
        <v>136.5</v>
      </c>
      <c r="O35" s="29">
        <f t="shared" ca="1" si="0"/>
        <v>-0.16309012875536477</v>
      </c>
      <c r="P35" s="29">
        <f t="shared" ca="1" si="1"/>
        <v>-0.16206261510128916</v>
      </c>
    </row>
    <row r="36" spans="1:16" ht="18" customHeight="1" x14ac:dyDescent="0.2">
      <c r="A36" s="199"/>
      <c r="B36" s="42" t="s">
        <v>78</v>
      </c>
      <c r="C36" s="43"/>
      <c r="D36" s="43">
        <f ca="1">82.3*OFFSET(D$112,MATCH($N$1,$C$112:$C$113,0)-1,0)</f>
        <v>82.3</v>
      </c>
      <c r="E36" s="43">
        <f ca="1">103.9*OFFSET(E$112,MATCH($N$1,$C$112:$C$113,0)-1,0)</f>
        <v>103.9</v>
      </c>
      <c r="F36" s="43">
        <f ca="1">82.4*OFFSET(F$112,MATCH($N$1,$C$112:$C$113,0)-1,0)</f>
        <v>82.4</v>
      </c>
      <c r="G36" s="43">
        <f ca="1">88.3*OFFSET(G$112,MATCH($N$1,$C$112:$C$113,0)-1,0)</f>
        <v>88.3</v>
      </c>
      <c r="H36" s="43">
        <f ca="1">82*OFFSET(H$112,MATCH($N$1,$C$112:$C$113,0)-1,0)</f>
        <v>82</v>
      </c>
      <c r="I36" s="43">
        <f ca="1">107.3*OFFSET(I$112,MATCH($N$1,$C$112:$C$113,0)-1,0)</f>
        <v>107.3</v>
      </c>
      <c r="J36" s="43">
        <f ca="1">94.3*OFFSET(J$112,MATCH($N$1,$C$112:$C$113,0)-1,0)</f>
        <v>94.3</v>
      </c>
      <c r="K36" s="43">
        <f ca="1">85.6*OFFSET(K$112,MATCH($N$1,$C$112:$C$113,0)-1,0)</f>
        <v>85.6</v>
      </c>
      <c r="L36" s="43">
        <f ca="1">90.2*OFFSET(L$112,MATCH($N$1,$C$112:$C$113,0)-1,0)</f>
        <v>90.2</v>
      </c>
      <c r="M36" s="43">
        <f ca="1">51.7*OFFSET(M$112,MATCH($N$1,$C$112:$C$113,0)-1,0)</f>
        <v>51.7</v>
      </c>
      <c r="N36" s="43">
        <v>77.800000000000011</v>
      </c>
      <c r="O36" s="29">
        <f t="shared" ca="1" si="0"/>
        <v>-5.4678007290400801E-2</v>
      </c>
      <c r="P36" s="29">
        <f t="shared" ca="1" si="1"/>
        <v>-0.1749734888653233</v>
      </c>
    </row>
    <row r="37" spans="1:16" ht="18" customHeight="1" x14ac:dyDescent="0.2">
      <c r="A37" s="199"/>
      <c r="B37" s="42" t="s">
        <v>79</v>
      </c>
      <c r="C37" s="43"/>
      <c r="D37" s="43">
        <f ca="1">34.9*OFFSET(D$112,MATCH($N$1,$C$112:$C$113,0)-1,0)</f>
        <v>34.9</v>
      </c>
      <c r="E37" s="43">
        <f ca="1">49.9*OFFSET(E$112,MATCH($N$1,$C$112:$C$113,0)-1,0)</f>
        <v>49.9</v>
      </c>
      <c r="F37" s="43">
        <f ca="1">31.6*OFFSET(F$112,MATCH($N$1,$C$112:$C$113,0)-1,0)</f>
        <v>31.6</v>
      </c>
      <c r="G37" s="43">
        <f ca="1">34.7*OFFSET(G$112,MATCH($N$1,$C$112:$C$113,0)-1,0)</f>
        <v>34.700000000000003</v>
      </c>
      <c r="H37" s="43">
        <f ca="1">35*OFFSET(H$112,MATCH($N$1,$C$112:$C$113,0)-1,0)</f>
        <v>35</v>
      </c>
      <c r="I37" s="43">
        <f ca="1">43.2*OFFSET(I$112,MATCH($N$1,$C$112:$C$113,0)-1,0)</f>
        <v>43.2</v>
      </c>
      <c r="J37" s="43">
        <f ca="1">34.4*OFFSET(J$112,MATCH($N$1,$C$112:$C$113,0)-1,0)</f>
        <v>34.4</v>
      </c>
      <c r="K37" s="43">
        <f ca="1">27*OFFSET(K$112,MATCH($N$1,$C$112:$C$113,0)-1,0)</f>
        <v>27</v>
      </c>
      <c r="L37" s="43">
        <f ca="1">27*OFFSET(L$112,MATCH($N$1,$C$112:$C$113,0)-1,0)</f>
        <v>27</v>
      </c>
      <c r="M37" s="43">
        <f ca="1">17.8*OFFSET(M$112,MATCH($N$1,$C$112:$C$113,0)-1,0)</f>
        <v>17.8</v>
      </c>
      <c r="N37" s="43">
        <v>28.1</v>
      </c>
      <c r="O37" s="29">
        <f t="shared" ca="1" si="0"/>
        <v>-0.19484240687679075</v>
      </c>
      <c r="P37" s="29">
        <f t="shared" ca="1" si="1"/>
        <v>-0.18313953488372087</v>
      </c>
    </row>
    <row r="38" spans="1:16" ht="18" customHeight="1" x14ac:dyDescent="0.2">
      <c r="A38" s="199"/>
      <c r="B38" s="37" t="s">
        <v>80</v>
      </c>
      <c r="C38" s="33"/>
      <c r="D38" s="33">
        <f ca="1">10.6*OFFSET(D$112,MATCH($N$1,$C$112:$C$113,0)-1,0)</f>
        <v>10.6</v>
      </c>
      <c r="E38" s="33">
        <f ca="1">5.9*OFFSET(E$112,MATCH($N$1,$C$112:$C$113,0)-1,0)</f>
        <v>5.9</v>
      </c>
      <c r="F38" s="33">
        <f ca="1">6.7*OFFSET(F$112,MATCH($N$1,$C$112:$C$113,0)-1,0)</f>
        <v>6.7</v>
      </c>
      <c r="G38" s="33">
        <f ca="1">10.1*OFFSET(G$112,MATCH($N$1,$C$112:$C$113,0)-1,0)</f>
        <v>10.1</v>
      </c>
      <c r="H38" s="33">
        <f ca="1">9.2*OFFSET(H$112,MATCH($N$1,$C$112:$C$113,0)-1,0)</f>
        <v>9.1999999999999993</v>
      </c>
      <c r="I38" s="33">
        <f ca="1">10.2*OFFSET(I$112,MATCH($N$1,$C$112:$C$113,0)-1,0)</f>
        <v>10.199999999999999</v>
      </c>
      <c r="J38" s="33">
        <f ca="1">7.9*OFFSET(J$112,MATCH($N$1,$C$112:$C$113,0)-1,0)</f>
        <v>7.9</v>
      </c>
      <c r="K38" s="33">
        <f ca="1">10.3*OFFSET(K$112,MATCH($N$1,$C$112:$C$113,0)-1,0)</f>
        <v>10.3</v>
      </c>
      <c r="L38" s="33">
        <f ca="1">10.7*OFFSET(L$112,MATCH($N$1,$C$112:$C$113,0)-1,0)</f>
        <v>10.7</v>
      </c>
      <c r="M38" s="33">
        <f ca="1">7*OFFSET(M$112,MATCH($N$1,$C$112:$C$113,0)-1,0)</f>
        <v>7</v>
      </c>
      <c r="N38" s="33"/>
      <c r="O38" s="29" t="str">
        <f t="shared" si="0"/>
        <v/>
      </c>
      <c r="P38" s="29" t="str">
        <f t="shared" si="1"/>
        <v/>
      </c>
    </row>
    <row r="39" spans="1:16" ht="18" customHeight="1" x14ac:dyDescent="0.2">
      <c r="A39" s="199"/>
      <c r="B39" s="37" t="s">
        <v>81</v>
      </c>
      <c r="C39" s="33"/>
      <c r="D39" s="33">
        <f ca="1">2.8*OFFSET(D$112,MATCH($N$1,$C$112:$C$113,0)-1,0)</f>
        <v>2.8</v>
      </c>
      <c r="E39" s="33">
        <f ca="1">2.4*OFFSET(E$112,MATCH($N$1,$C$112:$C$113,0)-1,0)</f>
        <v>2.4</v>
      </c>
      <c r="F39" s="33">
        <f ca="1">1.6*OFFSET(F$112,MATCH($N$1,$C$112:$C$113,0)-1,0)</f>
        <v>1.6</v>
      </c>
      <c r="G39" s="33">
        <f ca="1">2.3*OFFSET(G$112,MATCH($N$1,$C$112:$C$113,0)-1,0)</f>
        <v>2.2999999999999998</v>
      </c>
      <c r="H39" s="33">
        <f ca="1">2.3*OFFSET(H$112,MATCH($N$1,$C$112:$C$113,0)-1,0)</f>
        <v>2.2999999999999998</v>
      </c>
      <c r="I39" s="33">
        <f ca="1">2.5*OFFSET(I$112,MATCH($N$1,$C$112:$C$113,0)-1,0)</f>
        <v>2.5</v>
      </c>
      <c r="J39" s="33">
        <f ca="1">2.2*OFFSET(J$112,MATCH($N$1,$C$112:$C$113,0)-1,0)</f>
        <v>2.2000000000000002</v>
      </c>
      <c r="K39" s="33">
        <f ca="1">1.6*OFFSET(K$112,MATCH($N$1,$C$112:$C$113,0)-1,0)</f>
        <v>1.6</v>
      </c>
      <c r="L39" s="33">
        <f ca="1">1.9*OFFSET(L$112,MATCH($N$1,$C$112:$C$113,0)-1,0)</f>
        <v>1.9</v>
      </c>
      <c r="M39" s="33">
        <f ca="1">1.3*OFFSET(M$112,MATCH($N$1,$C$112:$C$113,0)-1,0)</f>
        <v>1.3</v>
      </c>
      <c r="N39" s="33"/>
      <c r="O39" s="29" t="str">
        <f t="shared" si="0"/>
        <v/>
      </c>
      <c r="P39" s="29" t="str">
        <f t="shared" si="1"/>
        <v/>
      </c>
    </row>
    <row r="40" spans="1:16" ht="18" customHeight="1" x14ac:dyDescent="0.2">
      <c r="A40" s="199"/>
      <c r="B40" s="37" t="s">
        <v>82</v>
      </c>
      <c r="C40" s="33"/>
      <c r="D40" s="33">
        <f ca="1">0.1*OFFSET(D$112,MATCH($N$1,$C$112:$C$113,0)-1,0)</f>
        <v>0.1</v>
      </c>
      <c r="E40" s="33">
        <f ca="1">3.1*OFFSET(E$112,MATCH($N$1,$C$112:$C$113,0)-1,0)</f>
        <v>3.1</v>
      </c>
      <c r="F40" s="33">
        <f ca="1">0.9*OFFSET(F$112,MATCH($N$1,$C$112:$C$113,0)-1,0)</f>
        <v>0.9</v>
      </c>
      <c r="G40" s="33">
        <f ca="1">6.3*OFFSET(G$112,MATCH($N$1,$C$112:$C$113,0)-1,0)</f>
        <v>6.3</v>
      </c>
      <c r="H40" s="33">
        <f ca="1">1*OFFSET(H$112,MATCH($N$1,$C$112:$C$113,0)-1,0)</f>
        <v>1</v>
      </c>
      <c r="I40" s="33">
        <f ca="1">0.7*OFFSET(I$112,MATCH($N$1,$C$112:$C$113,0)-1,0)</f>
        <v>0.7</v>
      </c>
      <c r="J40" s="33">
        <f ca="1">4.4*OFFSET(J$112,MATCH($N$1,$C$112:$C$113,0)-1,0)</f>
        <v>4.4000000000000004</v>
      </c>
      <c r="K40" s="33">
        <f ca="1">1.3*OFFSET(K$112,MATCH($N$1,$C$112:$C$113,0)-1,0)</f>
        <v>1.3</v>
      </c>
      <c r="L40" s="33">
        <f ca="1">1.1*OFFSET(L$112,MATCH($N$1,$C$112:$C$113,0)-1,0)</f>
        <v>1.1000000000000001</v>
      </c>
      <c r="M40" s="33">
        <f ca="1">1.2*OFFSET(M$112,MATCH($N$1,$C$112:$C$113,0)-1,0)</f>
        <v>1.2</v>
      </c>
      <c r="N40" s="33"/>
      <c r="O40" s="29" t="str">
        <f t="shared" si="0"/>
        <v/>
      </c>
      <c r="P40" s="29" t="str">
        <f t="shared" si="1"/>
        <v/>
      </c>
    </row>
    <row r="41" spans="1:16" ht="18" customHeight="1" thickBot="1" x14ac:dyDescent="0.25">
      <c r="A41" s="200"/>
      <c r="B41" s="44" t="s">
        <v>83</v>
      </c>
      <c r="C41" s="45"/>
      <c r="D41" s="45">
        <f ca="1">21.4*OFFSET(D$112,MATCH($N$1,$C$112:$C$113,0)-1,0)</f>
        <v>21.4</v>
      </c>
      <c r="E41" s="45">
        <f ca="1">38.5*OFFSET(E$112,MATCH($N$1,$C$112:$C$113,0)-1,0)</f>
        <v>38.5</v>
      </c>
      <c r="F41" s="45">
        <f ca="1">22.4*OFFSET(F$112,MATCH($N$1,$C$112:$C$113,0)-1,0)</f>
        <v>22.4</v>
      </c>
      <c r="G41" s="45">
        <f ca="1">16*OFFSET(G$112,MATCH($N$1,$C$112:$C$113,0)-1,0)</f>
        <v>16</v>
      </c>
      <c r="H41" s="45">
        <f ca="1">22.6*OFFSET(H$112,MATCH($N$1,$C$112:$C$113,0)-1,0)</f>
        <v>22.6</v>
      </c>
      <c r="I41" s="45">
        <f ca="1">29.8*OFFSET(I$112,MATCH($N$1,$C$112:$C$113,0)-1,0)</f>
        <v>29.8</v>
      </c>
      <c r="J41" s="45">
        <f ca="1">19.9*OFFSET(J$112,MATCH($N$1,$C$112:$C$113,0)-1,0)</f>
        <v>19.899999999999999</v>
      </c>
      <c r="K41" s="45">
        <f ca="1">13.8*OFFSET(K$112,MATCH($N$1,$C$112:$C$113,0)-1,0)</f>
        <v>13.8</v>
      </c>
      <c r="L41" s="45">
        <f ca="1">13.4*OFFSET(L$112,MATCH($N$1,$C$112:$C$113,0)-1,0)</f>
        <v>13.4</v>
      </c>
      <c r="M41" s="45">
        <f ca="1">-1.7*OFFSET(M$112,MATCH($N$1,$C$112:$C$113,0)-1,0)</f>
        <v>-1.7</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130</v>
      </c>
      <c r="F46" s="94" t="s">
        <v>22</v>
      </c>
      <c r="G46" s="94" t="s">
        <v>22</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WOS nephrops under 250kW</v>
      </c>
      <c r="C48" s="96"/>
      <c r="D48" s="96"/>
      <c r="E48" s="96"/>
      <c r="F48" s="96"/>
      <c r="G48" s="96"/>
      <c r="K48" s="96" t="str">
        <f>$B24&amp;CHAR(10)&amp;$A$1</f>
        <v>Operating profit per kW day at sea (£)
WOS nephrops under 250kW</v>
      </c>
    </row>
    <row r="49" spans="1:11" s="82" customFormat="1" x14ac:dyDescent="0.2">
      <c r="A49" s="96" t="str">
        <f>$B22&amp;CHAR(10)&amp;$A$1</f>
        <v>Fishing income per kW day at sea (£)
WOS nephrops under 250kW</v>
      </c>
    </row>
    <row r="50" spans="1:11" s="82" customFormat="1" x14ac:dyDescent="0.2">
      <c r="A50" s="96" t="str">
        <f>$B20&amp;CHAR(10)&amp;$A$1</f>
        <v>Average price per tonne landed (£)
WOS nephrops under 250kW</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WOS nephrops under 250kW</v>
      </c>
      <c r="F62" s="96" t="str">
        <f>$B20&amp;CHAR(10)&amp;$A$1</f>
        <v>Average price per tonne landed (£)
WOS nephrops under 250kW</v>
      </c>
      <c r="K62" s="96" t="str">
        <f>"Average annual operating profit per vessel (£'000)"&amp;CHAR(10)&amp;$A$1</f>
        <v>Average annual operating profit per vessel (£'000)
WOS nephrops under 250kW</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WOS nephrops under 250kW</v>
      </c>
      <c r="F76" s="96" t="str">
        <f>"Top 5 landed species by value in "&amp;A77&amp;CHAR(10)&amp;A1</f>
        <v>Top 5 landed species by value in 2020
WOS nephrops under 250kW</v>
      </c>
    </row>
    <row r="77" spans="1:11" s="96" customFormat="1" x14ac:dyDescent="0.2">
      <c r="A77" s="96">
        <v>2020</v>
      </c>
      <c r="B77" s="96" t="s">
        <v>519</v>
      </c>
      <c r="C77" s="97">
        <v>0.9443425436911449</v>
      </c>
      <c r="D77" s="98">
        <v>12153634</v>
      </c>
      <c r="G77" s="96" t="s">
        <v>520</v>
      </c>
      <c r="H77" s="97">
        <v>0.9320645827757672</v>
      </c>
      <c r="I77" s="98">
        <v>12153634</v>
      </c>
      <c r="K77" s="96" t="s">
        <v>87</v>
      </c>
    </row>
    <row r="78" spans="1:11" s="96" customFormat="1" x14ac:dyDescent="0.2">
      <c r="B78" s="96" t="s">
        <v>521</v>
      </c>
      <c r="C78" s="97">
        <v>2.5293369689569967E-2</v>
      </c>
      <c r="D78" s="98">
        <v>3050596</v>
      </c>
      <c r="G78" s="96" t="s">
        <v>522</v>
      </c>
      <c r="H78" s="97">
        <v>2.8243633731485255E-2</v>
      </c>
      <c r="I78" s="98">
        <v>553960</v>
      </c>
    </row>
    <row r="79" spans="1:11" s="96" customFormat="1" x14ac:dyDescent="0.2">
      <c r="B79" s="96" t="s">
        <v>523</v>
      </c>
      <c r="C79" s="97">
        <v>1.1624710821090879E-2</v>
      </c>
      <c r="D79" s="98">
        <v>553960</v>
      </c>
      <c r="G79" s="96" t="s">
        <v>524</v>
      </c>
      <c r="H79" s="97">
        <v>2.6384645289937218E-2</v>
      </c>
      <c r="I79" s="98">
        <v>3050596</v>
      </c>
    </row>
    <row r="80" spans="1:11" s="96" customFormat="1" x14ac:dyDescent="0.2">
      <c r="B80" s="96" t="s">
        <v>156</v>
      </c>
      <c r="C80" s="97">
        <v>4.6370401452442492E-3</v>
      </c>
      <c r="D80" s="98">
        <v>1692097</v>
      </c>
      <c r="G80" s="96" t="s">
        <v>525</v>
      </c>
      <c r="H80" s="97">
        <v>3.700081940909641E-3</v>
      </c>
      <c r="I80" s="98">
        <v>1692097</v>
      </c>
    </row>
    <row r="81" spans="1:19" s="96" customFormat="1" x14ac:dyDescent="0.2">
      <c r="B81" s="96" t="s">
        <v>526</v>
      </c>
      <c r="C81" s="97">
        <v>3.9489422003344101E-3</v>
      </c>
      <c r="D81" s="98">
        <v>3689192</v>
      </c>
      <c r="G81" s="96" t="s">
        <v>435</v>
      </c>
      <c r="H81" s="97">
        <v>3.2331823634311071E-3</v>
      </c>
      <c r="I81" s="98">
        <v>3689192</v>
      </c>
    </row>
    <row r="82" spans="1:19" s="96" customFormat="1" x14ac:dyDescent="0.2">
      <c r="B82" s="96" t="s">
        <v>527</v>
      </c>
      <c r="C82" s="97">
        <v>1.0153393452615678E-2</v>
      </c>
      <c r="D82" s="98">
        <v>5920853</v>
      </c>
      <c r="G82" s="96" t="s">
        <v>441</v>
      </c>
      <c r="H82" s="97">
        <v>6.3738738984695509E-3</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102</v>
      </c>
      <c r="D92" s="102">
        <v>0.95876494800364065</v>
      </c>
      <c r="E92" s="102">
        <v>0.95642993523267572</v>
      </c>
      <c r="F92" s="102">
        <v>0.97638166235546109</v>
      </c>
      <c r="G92" s="102">
        <v>0.97741443134295813</v>
      </c>
      <c r="H92" s="102">
        <v>0.97618989992581506</v>
      </c>
      <c r="I92" s="102">
        <v>0.96569663096188274</v>
      </c>
      <c r="J92" s="102">
        <v>0.96408525618343599</v>
      </c>
      <c r="K92" s="102">
        <v>0.95675579344801076</v>
      </c>
      <c r="L92" s="102">
        <v>0.9320645827757672</v>
      </c>
      <c r="M92" s="102">
        <v>0.97504525059392244</v>
      </c>
      <c r="O92" s="96">
        <v>12153634</v>
      </c>
    </row>
    <row r="93" spans="1:19" s="96" customFormat="1" hidden="1" x14ac:dyDescent="0.2">
      <c r="B93" s="96">
        <v>2</v>
      </c>
      <c r="C93" s="96" t="s">
        <v>145</v>
      </c>
      <c r="D93" s="102"/>
      <c r="E93" s="102">
        <v>3.7594886197009972E-3</v>
      </c>
      <c r="F93" s="102"/>
      <c r="G93" s="102"/>
      <c r="H93" s="102">
        <v>2.9285641748799146E-3</v>
      </c>
      <c r="I93" s="102">
        <v>9.3756376493999583E-3</v>
      </c>
      <c r="J93" s="102">
        <v>5.5430186986126766E-3</v>
      </c>
      <c r="K93" s="102">
        <v>1.1684202946302203E-2</v>
      </c>
      <c r="L93" s="102">
        <v>2.8243633731485255E-2</v>
      </c>
      <c r="M93" s="102">
        <v>9.5090964577180716E-3</v>
      </c>
      <c r="O93" s="96">
        <v>553960</v>
      </c>
    </row>
    <row r="94" spans="1:19" s="96" customFormat="1" hidden="1" x14ac:dyDescent="0.2">
      <c r="B94" s="96">
        <v>3</v>
      </c>
      <c r="C94" s="96" t="s">
        <v>100</v>
      </c>
      <c r="D94" s="102">
        <v>2.1520087451725844E-2</v>
      </c>
      <c r="E94" s="102">
        <v>1.299499445453184E-2</v>
      </c>
      <c r="F94" s="102">
        <v>3.8541152834509085E-3</v>
      </c>
      <c r="G94" s="102">
        <v>9.3501579401829536E-3</v>
      </c>
      <c r="H94" s="102">
        <v>9.4301421229082485E-3</v>
      </c>
      <c r="I94" s="102">
        <v>8.983742358474843E-3</v>
      </c>
      <c r="J94" s="102">
        <v>9.1791442667017876E-3</v>
      </c>
      <c r="K94" s="102">
        <v>1.2980922755408013E-2</v>
      </c>
      <c r="L94" s="102">
        <v>2.6384645289937218E-2</v>
      </c>
      <c r="M94" s="102"/>
      <c r="O94" s="96">
        <v>3050596</v>
      </c>
    </row>
    <row r="95" spans="1:19" s="96" customFormat="1" hidden="1" x14ac:dyDescent="0.2">
      <c r="B95" s="96">
        <v>4</v>
      </c>
      <c r="C95" s="96" t="s">
        <v>104</v>
      </c>
      <c r="D95" s="102"/>
      <c r="E95" s="102"/>
      <c r="F95" s="102">
        <v>3.4221695504747613E-3</v>
      </c>
      <c r="G95" s="102">
        <v>2.9480861338771801E-3</v>
      </c>
      <c r="H95" s="102">
        <v>4.1063308537431188E-3</v>
      </c>
      <c r="I95" s="102">
        <v>7.3463898037433176E-3</v>
      </c>
      <c r="J95" s="102">
        <v>1.082066561268367E-2</v>
      </c>
      <c r="K95" s="102"/>
      <c r="L95" s="102">
        <v>3.700081940909641E-3</v>
      </c>
      <c r="M95" s="102">
        <v>4.0851031583751859E-3</v>
      </c>
      <c r="O95" s="96">
        <v>1692097</v>
      </c>
    </row>
    <row r="96" spans="1:19" s="96" customFormat="1" hidden="1" x14ac:dyDescent="0.2">
      <c r="B96" s="96">
        <v>5</v>
      </c>
      <c r="C96" s="96" t="s">
        <v>143</v>
      </c>
      <c r="D96" s="102">
        <v>2.0489463798348201E-3</v>
      </c>
      <c r="E96" s="102"/>
      <c r="F96" s="102">
        <v>4.6151376590610263E-3</v>
      </c>
      <c r="G96" s="102">
        <v>3.5332638565793708E-3</v>
      </c>
      <c r="H96" s="102">
        <v>2.4652998408192586E-3</v>
      </c>
      <c r="I96" s="102">
        <v>2.9246483634644185E-3</v>
      </c>
      <c r="J96" s="102">
        <v>5.1005529324523891E-3</v>
      </c>
      <c r="K96" s="102">
        <v>4.1775407142161467E-3</v>
      </c>
      <c r="L96" s="102">
        <v>3.2331823634311071E-3</v>
      </c>
      <c r="M96" s="102">
        <v>1.770574402008061E-3</v>
      </c>
      <c r="O96" s="96">
        <v>3689192</v>
      </c>
    </row>
    <row r="97" spans="1:15" s="96" customFormat="1" hidden="1" x14ac:dyDescent="0.2">
      <c r="B97" s="96">
        <v>6</v>
      </c>
      <c r="C97" s="96" t="s">
        <v>105</v>
      </c>
      <c r="D97" s="102">
        <v>4.0269147403617402E-3</v>
      </c>
      <c r="E97" s="102">
        <v>7.5278379966742786E-3</v>
      </c>
      <c r="F97" s="102"/>
      <c r="G97" s="102"/>
      <c r="H97" s="102"/>
      <c r="I97" s="102"/>
      <c r="J97" s="102"/>
      <c r="K97" s="102"/>
      <c r="L97" s="102"/>
      <c r="M97" s="102">
        <v>3.9019173435102779E-3</v>
      </c>
      <c r="O97" s="96">
        <v>11115023</v>
      </c>
    </row>
    <row r="98" spans="1:15" s="96" customFormat="1" hidden="1" x14ac:dyDescent="0.2">
      <c r="B98" s="96">
        <v>7</v>
      </c>
      <c r="C98" s="96" t="s">
        <v>126</v>
      </c>
      <c r="D98" s="102"/>
      <c r="E98" s="102"/>
      <c r="F98" s="102"/>
      <c r="G98" s="102"/>
      <c r="H98" s="102"/>
      <c r="I98" s="102"/>
      <c r="J98" s="102"/>
      <c r="K98" s="102">
        <v>5.3353492931610064E-3</v>
      </c>
      <c r="L98" s="102"/>
      <c r="M98" s="102"/>
      <c r="O98" s="96">
        <v>2480382</v>
      </c>
    </row>
    <row r="99" spans="1:15" s="96" customFormat="1" hidden="1" x14ac:dyDescent="0.2">
      <c r="B99" s="96">
        <v>8</v>
      </c>
      <c r="C99" s="96" t="s">
        <v>20</v>
      </c>
      <c r="D99" s="102">
        <v>3.3071228800882892E-3</v>
      </c>
      <c r="E99" s="102"/>
      <c r="F99" s="102"/>
      <c r="G99" s="102">
        <v>1.5410572834852749E-3</v>
      </c>
      <c r="H99" s="102"/>
      <c r="I99" s="102"/>
      <c r="J99" s="102"/>
      <c r="K99" s="102"/>
      <c r="L99" s="102"/>
      <c r="M99" s="102"/>
      <c r="O99" s="96">
        <v>7434864</v>
      </c>
    </row>
    <row r="100" spans="1:15" s="96" customFormat="1" hidden="1" x14ac:dyDescent="0.2">
      <c r="B100" s="96">
        <v>9</v>
      </c>
      <c r="C100" s="96" t="s">
        <v>175</v>
      </c>
      <c r="D100" s="102"/>
      <c r="E100" s="102"/>
      <c r="F100" s="102">
        <v>2.12054132636767E-3</v>
      </c>
      <c r="G100" s="102"/>
      <c r="H100" s="102"/>
      <c r="I100" s="102"/>
      <c r="J100" s="102"/>
      <c r="K100" s="102"/>
      <c r="L100" s="102"/>
      <c r="M100" s="102"/>
      <c r="O100" s="96">
        <v>8497745</v>
      </c>
    </row>
    <row r="101" spans="1:15" s="96" customFormat="1" hidden="1" x14ac:dyDescent="0.2">
      <c r="B101" s="96">
        <v>10</v>
      </c>
      <c r="C101" s="96" t="s">
        <v>162</v>
      </c>
      <c r="D101" s="102"/>
      <c r="E101" s="102">
        <v>5.2567045762981542E-3</v>
      </c>
      <c r="F101" s="102"/>
      <c r="G101" s="102"/>
      <c r="H101" s="102"/>
      <c r="I101" s="102"/>
      <c r="J101" s="102"/>
      <c r="K101" s="102"/>
      <c r="L101" s="102"/>
      <c r="M101" s="102"/>
      <c r="O101" s="96">
        <v>14393110</v>
      </c>
    </row>
    <row r="102" spans="1:15" s="96" customFormat="1" hidden="1" x14ac:dyDescent="0.2">
      <c r="B102" s="96">
        <v>11</v>
      </c>
      <c r="C102" s="96" t="s">
        <v>107</v>
      </c>
      <c r="D102" s="102">
        <v>1.0331980544348689E-2</v>
      </c>
      <c r="E102" s="102">
        <v>1.4031039120119052E-2</v>
      </c>
      <c r="F102" s="102">
        <v>9.6063738251845401E-3</v>
      </c>
      <c r="G102" s="102">
        <v>5.2130034429170719E-3</v>
      </c>
      <c r="H102" s="102">
        <v>4.8797630818343549E-3</v>
      </c>
      <c r="I102" s="102">
        <v>5.6729508630347127E-3</v>
      </c>
      <c r="J102" s="102">
        <v>5.2713623061134782E-3</v>
      </c>
      <c r="K102" s="102">
        <v>9.0661908429018733E-3</v>
      </c>
      <c r="L102" s="102">
        <v>6.3738738984695552E-3</v>
      </c>
      <c r="M102" s="102">
        <v>5.6880580444659077E-3</v>
      </c>
      <c r="O102" s="96">
        <v>5920853</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12</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15</v>
      </c>
      <c r="D120" s="56">
        <v>30</v>
      </c>
      <c r="E120" s="56">
        <v>15</v>
      </c>
      <c r="F120" s="57">
        <v>53</v>
      </c>
    </row>
    <row r="121" spans="1:15" ht="18" customHeight="1" x14ac:dyDescent="0.2">
      <c r="A121" s="194" t="s">
        <v>27</v>
      </c>
      <c r="B121" s="35" t="s">
        <v>62</v>
      </c>
      <c r="C121" s="58">
        <v>14.26533317565918</v>
      </c>
      <c r="D121" s="58">
        <v>15.795999526977539</v>
      </c>
      <c r="E121" s="58">
        <v>15.917333602905273</v>
      </c>
      <c r="F121" s="59">
        <v>15.111509323120117</v>
      </c>
    </row>
    <row r="122" spans="1:15" ht="18" customHeight="1" x14ac:dyDescent="0.2">
      <c r="A122" s="195"/>
      <c r="B122" s="37" t="s">
        <v>55</v>
      </c>
      <c r="C122" s="60">
        <v>158.06666564941406</v>
      </c>
      <c r="D122" s="60">
        <v>174.36666870117188</v>
      </c>
      <c r="E122" s="60">
        <v>186.19999694824219</v>
      </c>
      <c r="F122" s="61">
        <v>171.67924499511719</v>
      </c>
    </row>
    <row r="123" spans="1:15" ht="18" customHeight="1" x14ac:dyDescent="0.2">
      <c r="A123" s="195"/>
      <c r="B123" s="37" t="s">
        <v>56</v>
      </c>
      <c r="C123" s="60">
        <v>40.333332061767578</v>
      </c>
      <c r="D123" s="60">
        <v>44.299999237060547</v>
      </c>
      <c r="E123" s="60">
        <v>43.066665649414063</v>
      </c>
      <c r="F123" s="61">
        <v>40.113208770751953</v>
      </c>
    </row>
    <row r="124" spans="1:15" ht="18" customHeight="1" x14ac:dyDescent="0.2">
      <c r="A124" s="195"/>
      <c r="B124" s="37" t="s">
        <v>57</v>
      </c>
      <c r="C124" s="60">
        <v>144.60697937011719</v>
      </c>
      <c r="D124" s="60">
        <v>163.64686584472656</v>
      </c>
      <c r="E124" s="60">
        <v>169.69540405273438</v>
      </c>
      <c r="F124" s="61">
        <v>156.91822814941406</v>
      </c>
    </row>
    <row r="125" spans="1:15" ht="18" customHeight="1" x14ac:dyDescent="0.2">
      <c r="A125" s="195"/>
      <c r="B125" s="37" t="s">
        <v>58</v>
      </c>
      <c r="C125" s="33">
        <v>87.883010864257813</v>
      </c>
      <c r="D125" s="33">
        <v>77.815948486328125</v>
      </c>
      <c r="E125" s="33">
        <v>46.551750183105469</v>
      </c>
      <c r="F125" s="62">
        <v>49.710468292236328</v>
      </c>
    </row>
    <row r="126" spans="1:15" ht="18" customHeight="1" x14ac:dyDescent="0.2">
      <c r="A126" s="195"/>
      <c r="B126" s="37" t="s">
        <v>63</v>
      </c>
      <c r="C126" s="33">
        <f ca="1">263.566625*OFFSET($L$112,MATCH($N$1,$C$112:$C$113,0)-1,0)</f>
        <v>263.56662499999999</v>
      </c>
      <c r="D126" s="33">
        <f ca="1">227.722359375*OFFSET($L$112,MATCH($N$1,$C$112:$C$113,0)-1,0)</f>
        <v>227.722359375</v>
      </c>
      <c r="E126" s="33">
        <f ca="1">128.7393046875*OFFSET($L$112,MATCH($N$1,$C$112:$C$113,0)-1,0)</f>
        <v>128.73930468750001</v>
      </c>
      <c r="F126" s="62">
        <f ca="1">110.772890625*OFFSET($L$112,MATCH($N$1,$C$112:$C$113,0)-1,0)</f>
        <v>110.772890625</v>
      </c>
    </row>
    <row r="127" spans="1:15" ht="18" customHeight="1" x14ac:dyDescent="0.2">
      <c r="A127" s="195"/>
      <c r="B127" s="37" t="s">
        <v>60</v>
      </c>
      <c r="C127" s="60">
        <v>168</v>
      </c>
      <c r="D127" s="60">
        <v>164.20000457763672</v>
      </c>
      <c r="E127" s="60">
        <v>155.13333129882813</v>
      </c>
      <c r="F127" s="61">
        <v>129.132080078125</v>
      </c>
    </row>
    <row r="128" spans="1:15" ht="18" customHeight="1" x14ac:dyDescent="0.2">
      <c r="A128" s="195"/>
      <c r="B128" s="37" t="s">
        <v>64</v>
      </c>
      <c r="C128" s="60">
        <v>37.200000762939453</v>
      </c>
      <c r="D128" s="60">
        <v>41.966667175292969</v>
      </c>
      <c r="E128" s="60">
        <v>43.933334350585938</v>
      </c>
      <c r="F128" s="61">
        <v>41.830188751220703</v>
      </c>
    </row>
    <row r="129" spans="1:15" ht="18" customHeight="1" x14ac:dyDescent="0.2">
      <c r="A129" s="195"/>
      <c r="B129" s="37" t="s">
        <v>65</v>
      </c>
      <c r="C129" s="63">
        <v>0.52311313152313232</v>
      </c>
      <c r="D129" s="63">
        <v>0.47390953908003908</v>
      </c>
      <c r="E129" s="63">
        <v>0.30007573962211609</v>
      </c>
      <c r="F129" s="64">
        <v>0.38495832681655884</v>
      </c>
    </row>
    <row r="130" spans="1:15" ht="18" customHeight="1" x14ac:dyDescent="0.2">
      <c r="A130" s="196"/>
      <c r="B130" s="39" t="s">
        <v>28</v>
      </c>
      <c r="C130" s="40">
        <f ca="1">2999.06230348775*OFFSET($L$112,MATCH($N$1,$C$112:$C$113,0)-1,0)</f>
        <v>2999.0623034877499</v>
      </c>
      <c r="D130" s="40">
        <f ca="1">2926.42271673923*OFFSET($L$112,MATCH($N$1,$C$112:$C$113,0)-1,0)</f>
        <v>2926.4227167392301</v>
      </c>
      <c r="E130" s="40">
        <f ca="1">2765.50944231141*OFFSET($L$112,MATCH($N$1,$C$112:$C$113,0)-1,0)</f>
        <v>2765.5094423114101</v>
      </c>
      <c r="F130" s="65">
        <f ca="1">2228*OFFSET($L$112,MATCH($N$1,$C$112:$C$113,0)-1,0)</f>
        <v>2228</v>
      </c>
    </row>
    <row r="131" spans="1:15" ht="18" customHeight="1" x14ac:dyDescent="0.2">
      <c r="A131" s="205" t="s">
        <v>29</v>
      </c>
      <c r="B131" s="35" t="s">
        <v>66</v>
      </c>
      <c r="C131" s="66">
        <v>3.3142139331092433</v>
      </c>
      <c r="D131" s="66">
        <v>2.6753624824571416</v>
      </c>
      <c r="E131" s="66">
        <v>1.641905715471667</v>
      </c>
      <c r="F131" s="67">
        <v>2.2694035087478786</v>
      </c>
    </row>
    <row r="132" spans="1:15" ht="18" customHeight="1" x14ac:dyDescent="0.2">
      <c r="A132" s="206"/>
      <c r="B132" s="37" t="s">
        <v>67</v>
      </c>
      <c r="C132" s="63">
        <f ca="1">9.9395340724818*OFFSET($L$112,MATCH($N$1,$C$112:$C$113,0)-1,0)</f>
        <v>9.9395340724818002</v>
      </c>
      <c r="D132" s="63">
        <f ca="1">7.82924154417443*OFFSET($L$112,MATCH($N$1,$C$112:$C$113,0)-1,0)</f>
        <v>7.8292415441744296</v>
      </c>
      <c r="E132" s="63">
        <f ca="1">4.54070575952196*OFFSET($L$112,MATCH($N$1,$C$112:$C$113,0)-1,0)</f>
        <v>4.54070575952196</v>
      </c>
      <c r="F132" s="64">
        <f ca="1">5.05705126696184*OFFSET($L$112,MATCH($N$1,$C$112:$C$113,0)-1,0)</f>
        <v>5.0570512669618397</v>
      </c>
    </row>
    <row r="133" spans="1:15" ht="18" customHeight="1" x14ac:dyDescent="0.2">
      <c r="A133" s="206"/>
      <c r="B133" s="37" t="s">
        <v>11</v>
      </c>
      <c r="C133" s="63">
        <f ca="1">8.10984698495305*OFFSET($L$112,MATCH($N$1,$C$112:$C$113,0)-1,0)</f>
        <v>8.1098469849530499</v>
      </c>
      <c r="D133" s="63">
        <f ca="1">6.81747557429778*OFFSET($L$112,MATCH($N$1,$C$112:$C$113,0)-1,0)</f>
        <v>6.8174755742977799</v>
      </c>
      <c r="E133" s="63">
        <f ca="1">4.51360588278633*OFFSET($L$112,MATCH($N$1,$C$112:$C$113,0)-1,0)</f>
        <v>4.5136058827863303</v>
      </c>
      <c r="F133" s="64">
        <f ca="1">4.24370032177828*OFFSET($L$112,MATCH($N$1,$C$112:$C$113,0)-1,0)</f>
        <v>4.24370032177828</v>
      </c>
    </row>
    <row r="134" spans="1:15" ht="18" customHeight="1" x14ac:dyDescent="0.2">
      <c r="A134" s="207"/>
      <c r="B134" s="39" t="s">
        <v>12</v>
      </c>
      <c r="C134" s="68">
        <f ca="1">1.82968708752876*OFFSET($L$112,MATCH($N$1,$C$112:$C$113,0)-1,0)</f>
        <v>1.8296870875287601</v>
      </c>
      <c r="D134" s="68">
        <f ca="1">1.01176596987665*OFFSET($L$112,MATCH($N$1,$C$112:$C$113,0)-1,0)</f>
        <v>1.0117659698766499</v>
      </c>
      <c r="E134" s="68">
        <f ca="1">0.0270998767356364*OFFSET($L$112,MATCH($N$1,$C$112:$C$113,0)-1,0)</f>
        <v>2.7099876735636401E-2</v>
      </c>
      <c r="F134" s="69">
        <f ca="1">0.813350945183562*OFFSET($L$112,MATCH($N$1,$C$112:$C$113,0)-1,0)</f>
        <v>0.81335094518356199</v>
      </c>
    </row>
    <row r="135" spans="1:15" ht="18" customHeight="1" x14ac:dyDescent="0.2">
      <c r="A135" s="208" t="s">
        <v>49</v>
      </c>
      <c r="B135" s="37" t="s">
        <v>109</v>
      </c>
      <c r="C135" s="70">
        <f ca="1">29.982509765625*OFFSET($L$112,MATCH($N$1,$C$112:$C$113,0)-1,0)</f>
        <v>29.982509765625</v>
      </c>
      <c r="D135" s="70">
        <f ca="1">38.396162109375*OFFSET($L$112,MATCH($N$1,$C$112:$C$113,0)-1,0)</f>
        <v>38.396162109374998</v>
      </c>
      <c r="E135" s="70">
        <f ca="1">37.5751953125*OFFSET($L$112,MATCH($N$1,$C$112:$C$113,0)-1,0)</f>
        <v>37.5751953125</v>
      </c>
      <c r="F135" s="71">
        <f ca="1">19.87901953125*OFFSET($L$112,MATCH($N$1,$C$112:$C$113,0)-1,0)</f>
        <v>19.879019531250002</v>
      </c>
    </row>
    <row r="136" spans="1:15" ht="18" customHeight="1" x14ac:dyDescent="0.2">
      <c r="A136" s="209"/>
      <c r="B136" s="37" t="s">
        <v>110</v>
      </c>
      <c r="C136" s="31">
        <v>57587.33203125</v>
      </c>
      <c r="D136" s="31">
        <v>73694.336226369953</v>
      </c>
      <c r="E136" s="31">
        <v>72153.332366729155</v>
      </c>
      <c r="F136" s="72">
        <v>53645.283018867922</v>
      </c>
    </row>
    <row r="137" spans="1:15" ht="18" customHeight="1" x14ac:dyDescent="0.2">
      <c r="A137" s="209"/>
      <c r="B137" s="37" t="s">
        <v>111</v>
      </c>
      <c r="C137" s="31">
        <v>342.78173828125</v>
      </c>
      <c r="D137" s="31">
        <v>448.80836889091523</v>
      </c>
      <c r="E137" s="31">
        <v>465.10528564453125</v>
      </c>
      <c r="F137" s="72">
        <v>415.4295654296875</v>
      </c>
    </row>
    <row r="138" spans="1:15" ht="18" customHeight="1" x14ac:dyDescent="0.2">
      <c r="A138" s="209"/>
      <c r="B138" s="37" t="s">
        <v>112</v>
      </c>
      <c r="C138" s="31">
        <f ca="1">178.467320033482*OFFSET($L$112,MATCH($N$1,$C$112:$C$113,0)-1,0)</f>
        <v>178.467320033482</v>
      </c>
      <c r="D138" s="31">
        <f ca="1">233.837765158043*OFFSET($L$112,MATCH($N$1,$C$112:$C$113,0)-1,0)</f>
        <v>233.837765158043</v>
      </c>
      <c r="E138" s="31">
        <f ca="1">242.212263463357*OFFSET($L$112,MATCH($N$1,$C$112:$C$113,0)-1,0)</f>
        <v>242.212263463357</v>
      </c>
      <c r="F138" s="72">
        <f ca="1">153.943307652314*OFFSET($L$112,MATCH($N$1,$C$112:$C$113,0)-1,0)</f>
        <v>153.94330765231399</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341.163889024414*OFFSET($L$112,MATCH($N$1,$C$112:$C$113,0)-1,0)</f>
        <v>341.163889024414</v>
      </c>
      <c r="D139" s="31">
        <f ca="1">493.422786154448*OFFSET($L$112,MATCH($N$1,$C$112:$C$113,0)-1,0)</f>
        <v>493.42278615444798</v>
      </c>
      <c r="E139" s="31">
        <f ca="1">807.170410665607*OFFSET($L$112,MATCH($N$1,$C$112:$C$113,0)-1,0)</f>
        <v>807.17041066560705</v>
      </c>
      <c r="F139" s="72">
        <f ca="1">399.896042306137*OFFSET($L$112,MATCH($N$1,$C$112:$C$113,0)-1,0)</f>
        <v>399.89604230613702</v>
      </c>
      <c r="I139" s="48"/>
      <c r="K139" s="73" t="s">
        <v>114</v>
      </c>
      <c r="L139" s="74">
        <f t="shared" ref="L139:M141" ca="1" si="2">C140</f>
        <v>266.26534375</v>
      </c>
      <c r="M139" s="74">
        <f t="shared" ca="1" si="2"/>
        <v>230.05408593749999</v>
      </c>
      <c r="N139" s="74">
        <f ca="1">E140</f>
        <v>130.05750781250001</v>
      </c>
      <c r="O139" s="74"/>
    </row>
    <row r="140" spans="1:15" ht="18" customHeight="1" x14ac:dyDescent="0.2">
      <c r="A140" s="187" t="s">
        <v>50</v>
      </c>
      <c r="B140" s="35" t="s">
        <v>115</v>
      </c>
      <c r="C140" s="75">
        <f ca="1">266.26534375*OFFSET($L$112,MATCH($N$1,$C$112:$C$113,0)-1,0)</f>
        <v>266.26534375</v>
      </c>
      <c r="D140" s="75">
        <f ca="1">230.0540859375*OFFSET($L$112,MATCH($N$1,$C$112:$C$113,0)-1,0)</f>
        <v>230.05408593749999</v>
      </c>
      <c r="E140" s="75">
        <f ca="1">130.0575078125*OFFSET($L$112,MATCH($N$1,$C$112:$C$113,0)-1,0)</f>
        <v>130.05750781250001</v>
      </c>
      <c r="F140" s="76">
        <f ca="1">122.501015625*OFFSET($L$112,MATCH($N$1,$C$112:$C$113,0)-1,0)</f>
        <v>122.50101562499999</v>
      </c>
      <c r="I140" s="48"/>
      <c r="K140" s="73" t="s">
        <v>116</v>
      </c>
      <c r="L140" s="74">
        <f t="shared" ca="1" si="2"/>
        <v>217.74754687500001</v>
      </c>
      <c r="M140" s="74">
        <f t="shared" ca="1" si="2"/>
        <v>200.62572656250001</v>
      </c>
      <c r="N140" s="74">
        <f ca="1">E141</f>
        <v>129.28916406249999</v>
      </c>
      <c r="O140" s="74"/>
    </row>
    <row r="141" spans="1:15" ht="18" customHeight="1" x14ac:dyDescent="0.2">
      <c r="A141" s="188"/>
      <c r="B141" s="37" t="s">
        <v>117</v>
      </c>
      <c r="C141" s="31">
        <f ca="1">217.747546875*OFFSET($L$112,MATCH($N$1,$C$112:$C$113,0)-1,0)</f>
        <v>217.74754687500001</v>
      </c>
      <c r="D141" s="31">
        <f ca="1">200.6257265625*OFFSET($L$112,MATCH($N$1,$C$112:$C$113,0)-1,0)</f>
        <v>200.62572656250001</v>
      </c>
      <c r="E141" s="31">
        <f ca="1">129.2891640625*OFFSET($L$112,MATCH($N$1,$C$112:$C$113,0)-1,0)</f>
        <v>129.28916406249999</v>
      </c>
      <c r="F141" s="72">
        <f ca="1">104.6848515625*OFFSET($L$112,MATCH($N$1,$C$112:$C$113,0)-1,0)</f>
        <v>104.6848515625</v>
      </c>
      <c r="I141" s="48"/>
      <c r="K141" s="73" t="s">
        <v>118</v>
      </c>
      <c r="L141" s="74">
        <f t="shared" ca="1" si="2"/>
        <v>48.517796875000002</v>
      </c>
      <c r="M141" s="74">
        <f t="shared" ca="1" si="2"/>
        <v>29.428359374999999</v>
      </c>
      <c r="N141" s="74">
        <f ca="1">E142</f>
        <v>0.76834374999999999</v>
      </c>
      <c r="O141" s="74"/>
    </row>
    <row r="142" spans="1:15" ht="18" customHeight="1" x14ac:dyDescent="0.2">
      <c r="A142" s="189"/>
      <c r="B142" s="39" t="s">
        <v>119</v>
      </c>
      <c r="C142" s="40">
        <f ca="1">48.517796875*OFFSET($L$112,MATCH($N$1,$C$112:$C$113,0)-1,0)</f>
        <v>48.517796875000002</v>
      </c>
      <c r="D142" s="40">
        <f ca="1">29.428359375*OFFSET($L$112,MATCH($N$1,$C$112:$C$113,0)-1,0)</f>
        <v>29.428359374999999</v>
      </c>
      <c r="E142" s="40">
        <f ca="1">0.76834375*OFFSET($L$112,MATCH($N$1,$C$112:$C$113,0)-1,0)</f>
        <v>0.76834374999999999</v>
      </c>
      <c r="F142" s="65">
        <f ca="1">17.81616015625*OFFSET($L$112,MATCH($N$1,$C$112:$C$113,0)-1,0)</f>
        <v>17.81616015625</v>
      </c>
      <c r="I142" s="48"/>
      <c r="K142" s="73" t="s">
        <v>120</v>
      </c>
      <c r="L142" s="77">
        <f ca="1">IFERROR(L140/L$139,"")</f>
        <v>0.81778403380744147</v>
      </c>
      <c r="M142" s="77">
        <f t="shared" ref="M142:N143" ca="1" si="3">IFERROR(M140/M$139,"")</f>
        <v>0.87208069243771247</v>
      </c>
      <c r="N142" s="77">
        <f t="shared" ca="1" si="3"/>
        <v>0.99409227684796397</v>
      </c>
      <c r="O142" s="77"/>
    </row>
    <row r="143" spans="1:15" ht="18" customHeight="1" x14ac:dyDescent="0.2">
      <c r="I143" s="48"/>
      <c r="K143" s="73" t="s">
        <v>121</v>
      </c>
      <c r="L143" s="77">
        <f ca="1">IFERROR(L141/L$139,"")</f>
        <v>0.18221596619255864</v>
      </c>
      <c r="M143" s="77">
        <f t="shared" ca="1" si="3"/>
        <v>0.12791930756228759</v>
      </c>
      <c r="N143" s="77">
        <f t="shared" ca="1" si="3"/>
        <v>5.9077231520359291E-3</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9</v>
      </c>
      <c r="B161" s="53"/>
      <c r="C161" s="78" t="s">
        <v>45</v>
      </c>
      <c r="D161" s="78" t="s">
        <v>122</v>
      </c>
      <c r="E161" s="78" t="s">
        <v>47</v>
      </c>
      <c r="F161" s="78" t="s">
        <v>123</v>
      </c>
      <c r="G161" s="79">
        <v>10</v>
      </c>
      <c r="H161" s="78"/>
      <c r="I161" s="78" t="s">
        <v>45</v>
      </c>
      <c r="J161" s="78" t="s">
        <v>122</v>
      </c>
      <c r="K161" s="78" t="s">
        <v>47</v>
      </c>
      <c r="L161" s="53" t="s">
        <v>123</v>
      </c>
      <c r="R161" s="21"/>
      <c r="S161" s="21"/>
    </row>
    <row r="162" spans="1:19" s="48" customFormat="1" x14ac:dyDescent="0.2">
      <c r="A162" s="49">
        <v>1</v>
      </c>
      <c r="B162" s="53" t="s">
        <v>102</v>
      </c>
      <c r="C162" s="53">
        <v>0.38366191887908813</v>
      </c>
      <c r="D162" s="53">
        <v>0.9336353805791664</v>
      </c>
      <c r="E162" s="53">
        <v>0.76880716832168505</v>
      </c>
      <c r="F162" s="49">
        <v>12153634</v>
      </c>
      <c r="G162" s="49">
        <v>1</v>
      </c>
      <c r="H162" s="53" t="s">
        <v>102</v>
      </c>
      <c r="I162" s="53">
        <v>0.29889418154250702</v>
      </c>
      <c r="J162" s="53">
        <v>0.91138851777016439</v>
      </c>
      <c r="K162" s="53">
        <v>0.595981860500849</v>
      </c>
      <c r="L162" s="49">
        <v>12153634</v>
      </c>
      <c r="R162" s="21"/>
      <c r="S162" s="21"/>
    </row>
    <row r="163" spans="1:19" s="48" customFormat="1" x14ac:dyDescent="0.2">
      <c r="A163" s="49">
        <v>2</v>
      </c>
      <c r="B163" s="53" t="s">
        <v>100</v>
      </c>
      <c r="C163" s="53">
        <v>5.4093119838384152E-3</v>
      </c>
      <c r="D163" s="53">
        <v>2.8830690524638759E-2</v>
      </c>
      <c r="E163" s="53">
        <v>2.1301024773004953E-2</v>
      </c>
      <c r="F163" s="49">
        <v>3050596</v>
      </c>
      <c r="G163" s="49">
        <v>2</v>
      </c>
      <c r="H163" s="53" t="s">
        <v>145</v>
      </c>
      <c r="I163" s="53">
        <v>0</v>
      </c>
      <c r="J163" s="53">
        <v>4.6364882567343654E-2</v>
      </c>
      <c r="K163" s="53">
        <v>0</v>
      </c>
      <c r="L163" s="49">
        <v>553960</v>
      </c>
      <c r="N163" s="48" t="s">
        <v>124</v>
      </c>
      <c r="R163" s="21"/>
      <c r="S163" s="21"/>
    </row>
    <row r="164" spans="1:19" s="48" customFormat="1" x14ac:dyDescent="0.2">
      <c r="A164" s="49">
        <v>3</v>
      </c>
      <c r="B164" s="53" t="s">
        <v>145</v>
      </c>
      <c r="C164" s="53">
        <v>0</v>
      </c>
      <c r="D164" s="53">
        <v>1.9697585821078428E-2</v>
      </c>
      <c r="E164" s="53">
        <v>0</v>
      </c>
      <c r="F164" s="49">
        <v>553960</v>
      </c>
      <c r="G164" s="49">
        <v>3</v>
      </c>
      <c r="H164" s="53" t="s">
        <v>100</v>
      </c>
      <c r="I164" s="53">
        <v>4.3229484724111268E-3</v>
      </c>
      <c r="J164" s="53">
        <v>2.9163087281019233E-2</v>
      </c>
      <c r="K164" s="53">
        <v>1.878590652192038E-2</v>
      </c>
      <c r="L164" s="49">
        <v>3050596</v>
      </c>
      <c r="N164" s="48" t="s">
        <v>125</v>
      </c>
      <c r="R164" s="21"/>
      <c r="S164" s="21"/>
    </row>
    <row r="165" spans="1:19" s="48" customFormat="1" x14ac:dyDescent="0.2">
      <c r="A165" s="49">
        <v>4</v>
      </c>
      <c r="B165" s="53" t="s">
        <v>104</v>
      </c>
      <c r="C165" s="53">
        <v>0</v>
      </c>
      <c r="D165" s="53">
        <v>7.891307002114583E-3</v>
      </c>
      <c r="E165" s="53">
        <v>0</v>
      </c>
      <c r="F165" s="49">
        <v>1692097</v>
      </c>
      <c r="G165" s="49">
        <v>4</v>
      </c>
      <c r="H165" s="53" t="s">
        <v>104</v>
      </c>
      <c r="I165" s="53">
        <v>0</v>
      </c>
      <c r="J165" s="53">
        <v>6.0779523184747745E-3</v>
      </c>
      <c r="K165" s="53">
        <v>0</v>
      </c>
      <c r="L165" s="49">
        <v>1692097</v>
      </c>
      <c r="R165" s="21"/>
      <c r="S165" s="21"/>
    </row>
    <row r="166" spans="1:19" s="48" customFormat="1" x14ac:dyDescent="0.2">
      <c r="A166" s="49">
        <v>5</v>
      </c>
      <c r="B166" s="53" t="s">
        <v>20</v>
      </c>
      <c r="C166" s="53">
        <v>1.0409292378553143E-3</v>
      </c>
      <c r="D166" s="53">
        <v>3.6657727229304953E-3</v>
      </c>
      <c r="E166" s="53">
        <v>4.7512716791217697E-3</v>
      </c>
      <c r="F166" s="49">
        <v>11115023</v>
      </c>
      <c r="G166" s="49">
        <v>5</v>
      </c>
      <c r="H166" s="53" t="s">
        <v>143</v>
      </c>
      <c r="I166" s="53">
        <v>7.9768922966178652E-4</v>
      </c>
      <c r="J166" s="53">
        <v>2.7828057453454166E-3</v>
      </c>
      <c r="K166" s="53">
        <v>3.295026675292567E-3</v>
      </c>
      <c r="L166" s="49">
        <v>3689192</v>
      </c>
      <c r="R166" s="21"/>
      <c r="S166" s="21"/>
    </row>
    <row r="167" spans="1:19" s="48" customFormat="1" x14ac:dyDescent="0.2">
      <c r="A167" s="49">
        <v>6</v>
      </c>
      <c r="B167" s="53" t="s">
        <v>106</v>
      </c>
      <c r="C167" s="53">
        <v>2.2184794615320862E-3</v>
      </c>
      <c r="D167" s="53">
        <v>0</v>
      </c>
      <c r="E167" s="53">
        <v>5.1642886430889124E-3</v>
      </c>
      <c r="F167" s="49">
        <v>2480382</v>
      </c>
      <c r="G167" s="49">
        <v>6</v>
      </c>
      <c r="H167" s="53" t="s">
        <v>528</v>
      </c>
      <c r="I167" s="53">
        <v>0</v>
      </c>
      <c r="J167" s="53">
        <v>0</v>
      </c>
      <c r="K167" s="53">
        <v>3.5615679327361247E-3</v>
      </c>
      <c r="L167" s="49">
        <v>7434864</v>
      </c>
      <c r="R167" s="21"/>
      <c r="S167" s="21"/>
    </row>
    <row r="168" spans="1:19" s="48" customFormat="1" x14ac:dyDescent="0.2">
      <c r="A168" s="49">
        <v>7</v>
      </c>
      <c r="B168" s="53" t="s">
        <v>143</v>
      </c>
      <c r="C168" s="53">
        <v>1.2883794077311324E-3</v>
      </c>
      <c r="D168" s="53">
        <v>0</v>
      </c>
      <c r="E168" s="53">
        <v>4.7696021606856934E-3</v>
      </c>
      <c r="F168" s="49">
        <v>3689192</v>
      </c>
      <c r="G168" s="49">
        <v>7</v>
      </c>
      <c r="H168" s="53" t="s">
        <v>20</v>
      </c>
      <c r="I168" s="53">
        <v>3.9399362695155218E-4</v>
      </c>
      <c r="J168" s="53">
        <v>0</v>
      </c>
      <c r="K168" s="53">
        <v>1.9072265490408644E-3</v>
      </c>
      <c r="L168" s="49">
        <v>11115023</v>
      </c>
      <c r="R168" s="21"/>
      <c r="S168" s="21"/>
    </row>
    <row r="169" spans="1:19" s="48" customFormat="1" x14ac:dyDescent="0.2">
      <c r="A169" s="49">
        <v>8</v>
      </c>
      <c r="B169" s="53" t="s">
        <v>107</v>
      </c>
      <c r="C169" s="53">
        <v>0.60638098102995497</v>
      </c>
      <c r="D169" s="53">
        <v>6.2792633500714512E-3</v>
      </c>
      <c r="E169" s="53">
        <v>0.19520664442241353</v>
      </c>
      <c r="F169" s="49">
        <v>5920853</v>
      </c>
      <c r="G169" s="49">
        <v>8</v>
      </c>
      <c r="H169" s="53" t="s">
        <v>106</v>
      </c>
      <c r="I169" s="53">
        <v>5.6695692209974603E-4</v>
      </c>
      <c r="J169" s="53">
        <v>0</v>
      </c>
      <c r="K169" s="53">
        <v>0</v>
      </c>
      <c r="L169" s="49">
        <v>2480382</v>
      </c>
      <c r="R169" s="21"/>
      <c r="S169" s="21"/>
    </row>
    <row r="170" spans="1:19" s="48" customFormat="1" x14ac:dyDescent="0.2">
      <c r="A170" s="49">
        <v>9</v>
      </c>
      <c r="B170" s="53"/>
      <c r="C170" s="53">
        <v>0</v>
      </c>
      <c r="D170" s="53">
        <v>0</v>
      </c>
      <c r="E170" s="53">
        <v>0</v>
      </c>
      <c r="F170" s="49"/>
      <c r="G170" s="49">
        <v>9</v>
      </c>
      <c r="H170" s="53" t="s">
        <v>107</v>
      </c>
      <c r="I170" s="53">
        <v>0.69502423020636883</v>
      </c>
      <c r="J170" s="53">
        <v>4.2227543176526217E-3</v>
      </c>
      <c r="K170" s="53">
        <v>0.37646841182016111</v>
      </c>
      <c r="L170" s="49">
        <v>5920853</v>
      </c>
      <c r="R170" s="21"/>
      <c r="S170" s="21"/>
    </row>
    <row r="171" spans="1:19" s="48" customFormat="1" x14ac:dyDescent="0.2">
      <c r="A171" s="49">
        <v>10</v>
      </c>
      <c r="B171" s="53"/>
      <c r="C171" s="53">
        <v>0</v>
      </c>
      <c r="D171" s="53">
        <v>0</v>
      </c>
      <c r="E171" s="53">
        <v>0</v>
      </c>
      <c r="F171" s="49"/>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B43610FF-79F8-456D-9766-1F53F9586BF2}">
      <formula1>$C$112:$C$113</formula1>
    </dataValidation>
  </dataValidations>
  <hyperlinks>
    <hyperlink ref="O1:P1" location="Home_page" display="Back to home page" xr:uid="{7CEBDDF2-FC42-457A-98C0-3AB240FAF9F9}"/>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11AAB588-FDD5-41C8-B1C0-D63B592D9834}">
          <x14:colorSeries rgb="FF323232"/>
          <x14:colorNegative rgb="FFD00000"/>
          <x14:colorAxis rgb="FF000000"/>
          <x14:colorMarkers rgb="FFD00000"/>
          <x14:colorFirst rgb="FFD00000"/>
          <x14:colorLast rgb="FFD00000"/>
          <x14:colorHigh rgb="FFD00000"/>
          <x14:colorLow rgb="FFD00000"/>
          <x14:sparklines>
            <x14:sparkline>
              <xm:f>'WOS nephrops under 250kW'!D3:N3</xm:f>
              <xm:sqref>C3</xm:sqref>
            </x14:sparkline>
            <x14:sparkline>
              <xm:f>'WOS nephrops under 250kW'!D4:N4</xm:f>
              <xm:sqref>C4</xm:sqref>
            </x14:sparkline>
            <x14:sparkline>
              <xm:f>'WOS nephrops under 250kW'!D5:N5</xm:f>
              <xm:sqref>C5</xm:sqref>
            </x14:sparkline>
            <x14:sparkline>
              <xm:f>'WOS nephrops under 250kW'!D6:N6</xm:f>
              <xm:sqref>C6</xm:sqref>
            </x14:sparkline>
            <x14:sparkline>
              <xm:f>'WOS nephrops under 250kW'!D7:N7</xm:f>
              <xm:sqref>C7</xm:sqref>
            </x14:sparkline>
            <x14:sparkline>
              <xm:f>'WOS nephrops under 250kW'!D8:N8</xm:f>
              <xm:sqref>C8</xm:sqref>
            </x14:sparkline>
            <x14:sparkline>
              <xm:f>'WOS nephrops under 250kW'!D9:N9</xm:f>
              <xm:sqref>C9</xm:sqref>
            </x14:sparkline>
            <x14:sparkline>
              <xm:f>'WOS nephrops under 250kW'!D10:N10</xm:f>
              <xm:sqref>C10</xm:sqref>
            </x14:sparkline>
            <x14:sparkline>
              <xm:f>'WOS nephrops under 250kW'!D11:N11</xm:f>
              <xm:sqref>C11</xm:sqref>
            </x14:sparkline>
            <x14:sparkline>
              <xm:f>'WOS nephrops under 250kW'!D12:N12</xm:f>
              <xm:sqref>C12</xm:sqref>
            </x14:sparkline>
            <x14:sparkline>
              <xm:f>'WOS nephrops under 250kW'!D13:N13</xm:f>
              <xm:sqref>C13</xm:sqref>
            </x14:sparkline>
            <x14:sparkline>
              <xm:f>'WOS nephrops under 250kW'!D14:N14</xm:f>
              <xm:sqref>C14</xm:sqref>
            </x14:sparkline>
            <x14:sparkline>
              <xm:f>'WOS nephrops under 250kW'!D15:N15</xm:f>
              <xm:sqref>C15</xm:sqref>
            </x14:sparkline>
            <x14:sparkline>
              <xm:f>'WOS nephrops under 250kW'!D16:N16</xm:f>
              <xm:sqref>C16</xm:sqref>
            </x14:sparkline>
            <x14:sparkline>
              <xm:f>'WOS nephrops under 250kW'!D17:N17</xm:f>
              <xm:sqref>C17</xm:sqref>
            </x14:sparkline>
            <x14:sparkline>
              <xm:f>'WOS nephrops under 250kW'!D18:N18</xm:f>
              <xm:sqref>C18</xm:sqref>
            </x14:sparkline>
            <x14:sparkline>
              <xm:f>'WOS nephrops under 250kW'!D19:N19</xm:f>
              <xm:sqref>C19</xm:sqref>
            </x14:sparkline>
            <x14:sparkline>
              <xm:f>'WOS nephrops under 250kW'!D20:N20</xm:f>
              <xm:sqref>C20</xm:sqref>
            </x14:sparkline>
            <x14:sparkline>
              <xm:f>'WOS nephrops under 250kW'!D21:N21</xm:f>
              <xm:sqref>C21</xm:sqref>
            </x14:sparkline>
            <x14:sparkline>
              <xm:f>'WOS nephrops under 250kW'!D22:N22</xm:f>
              <xm:sqref>C22</xm:sqref>
            </x14:sparkline>
            <x14:sparkline>
              <xm:f>'WOS nephrops under 250kW'!D23:N23</xm:f>
              <xm:sqref>C23</xm:sqref>
            </x14:sparkline>
            <x14:sparkline>
              <xm:f>'WOS nephrops under 250kW'!D24:N24</xm:f>
              <xm:sqref>C24</xm:sqref>
            </x14:sparkline>
            <x14:sparkline>
              <xm:f>'WOS nephrops under 250kW'!D25:N25</xm:f>
              <xm:sqref>C25</xm:sqref>
            </x14:sparkline>
            <x14:sparkline>
              <xm:f>'WOS nephrops under 250kW'!D26:N26</xm:f>
              <xm:sqref>C26</xm:sqref>
            </x14:sparkline>
            <x14:sparkline>
              <xm:f>'WOS nephrops under 250kW'!D27:N27</xm:f>
              <xm:sqref>C27</xm:sqref>
            </x14:sparkline>
            <x14:sparkline>
              <xm:f>'WOS nephrops under 250kW'!D28:N28</xm:f>
              <xm:sqref>C28</xm:sqref>
            </x14:sparkline>
            <x14:sparkline>
              <xm:f>'WOS nephrops under 250kW'!D29:N29</xm:f>
              <xm:sqref>C29</xm:sqref>
            </x14:sparkline>
            <x14:sparkline>
              <xm:f>'WOS nephrops under 250kW'!D30:N30</xm:f>
              <xm:sqref>C30</xm:sqref>
            </x14:sparkline>
            <x14:sparkline>
              <xm:f>'WOS nephrops under 250kW'!D31:N31</xm:f>
              <xm:sqref>C31</xm:sqref>
            </x14:sparkline>
            <x14:sparkline>
              <xm:f>'WOS nephrops under 250kW'!D32:N32</xm:f>
              <xm:sqref>C32</xm:sqref>
            </x14:sparkline>
            <x14:sparkline>
              <xm:f>'WOS nephrops under 250kW'!D33:N33</xm:f>
              <xm:sqref>C33</xm:sqref>
            </x14:sparkline>
            <x14:sparkline>
              <xm:f>'WOS nephrops under 250kW'!D34:N34</xm:f>
              <xm:sqref>C34</xm:sqref>
            </x14:sparkline>
            <x14:sparkline>
              <xm:f>'WOS nephrops under 250kW'!D35:N35</xm:f>
              <xm:sqref>C35</xm:sqref>
            </x14:sparkline>
            <x14:sparkline>
              <xm:f>'WOS nephrops under 250kW'!D36:N36</xm:f>
              <xm:sqref>C36</xm:sqref>
            </x14:sparkline>
            <x14:sparkline>
              <xm:f>'WOS nephrops under 250kW'!D37:N37</xm:f>
              <xm:sqref>C37</xm:sqref>
            </x14:sparkline>
            <x14:sparkline>
              <xm:f>'WOS nephrops under 250kW'!D38:N38</xm:f>
              <xm:sqref>C38</xm:sqref>
            </x14:sparkline>
            <x14:sparkline>
              <xm:f>'WOS nephrops under 250kW'!D39:N39</xm:f>
              <xm:sqref>C39</xm:sqref>
            </x14:sparkline>
            <x14:sparkline>
              <xm:f>'WOS nephrops under 250kW'!D40:N40</xm:f>
              <xm:sqref>C40</xm:sqref>
            </x14:sparkline>
            <x14:sparkline>
              <xm:f>'WOS nephrops under 250kW'!D41:N41</xm:f>
              <xm:sqref>C41</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FB09E-1A57-46C3-9D15-58CD59A8A0BE}">
  <sheetPr codeName="Feuil41">
    <pageSetUpPr fitToPage="1"/>
  </sheetPr>
  <dimension ref="A1:K34"/>
  <sheetViews>
    <sheetView workbookViewId="0">
      <selection activeCell="J1" sqref="J1:K1"/>
    </sheetView>
  </sheetViews>
  <sheetFormatPr defaultColWidth="8.625" defaultRowHeight="15" customHeight="1" x14ac:dyDescent="0.2"/>
  <cols>
    <col min="1" max="1" width="32.125" style="112" customWidth="1"/>
    <col min="2" max="11" width="6.625" style="111" customWidth="1"/>
    <col min="12" max="23" width="6.625" style="112" customWidth="1"/>
    <col min="24" max="16384" width="8.625" style="112"/>
  </cols>
  <sheetData>
    <row r="1" spans="1:11" ht="33" customHeight="1" x14ac:dyDescent="0.2">
      <c r="A1" s="20" t="s">
        <v>534</v>
      </c>
      <c r="B1" s="20"/>
      <c r="C1" s="20"/>
      <c r="D1" s="20"/>
      <c r="E1" s="20"/>
      <c r="F1" s="20"/>
      <c r="G1" s="20"/>
      <c r="H1" s="20"/>
      <c r="I1" s="20"/>
      <c r="J1" s="210" t="s">
        <v>3</v>
      </c>
      <c r="K1" s="210"/>
    </row>
    <row r="2" spans="1:11" ht="30" customHeight="1" x14ac:dyDescent="0.2">
      <c r="A2" s="211" t="s">
        <v>535</v>
      </c>
      <c r="B2" s="211"/>
      <c r="C2" s="211"/>
      <c r="D2" s="211"/>
      <c r="E2" s="211"/>
      <c r="F2" s="211"/>
      <c r="G2" s="211"/>
      <c r="H2" s="211"/>
      <c r="I2" s="211"/>
      <c r="J2" s="211"/>
      <c r="K2" s="211"/>
    </row>
    <row r="3" spans="1:11" ht="15" customHeight="1" x14ac:dyDescent="0.2">
      <c r="A3" s="127"/>
      <c r="B3" s="37"/>
      <c r="C3" s="37"/>
      <c r="D3" s="37"/>
      <c r="E3" s="37"/>
      <c r="F3" s="37"/>
      <c r="G3" s="37"/>
      <c r="H3" s="37"/>
      <c r="I3" s="37"/>
      <c r="J3" s="37"/>
      <c r="K3" s="37"/>
    </row>
    <row r="4" spans="1:11" ht="15" customHeight="1" thickBot="1" x14ac:dyDescent="0.25">
      <c r="A4" s="128" t="s">
        <v>530</v>
      </c>
      <c r="B4" s="129">
        <v>2011</v>
      </c>
      <c r="C4" s="129">
        <v>2012</v>
      </c>
      <c r="D4" s="129">
        <v>2013</v>
      </c>
      <c r="E4" s="129">
        <v>2014</v>
      </c>
      <c r="F4" s="129">
        <v>2015</v>
      </c>
      <c r="G4" s="129">
        <v>2016</v>
      </c>
      <c r="H4" s="129">
        <v>2017</v>
      </c>
      <c r="I4" s="129">
        <v>2018</v>
      </c>
      <c r="J4" s="129">
        <v>2019</v>
      </c>
      <c r="K4" s="129">
        <v>2020</v>
      </c>
    </row>
    <row r="5" spans="1:11" ht="15" customHeight="1" x14ac:dyDescent="0.2">
      <c r="A5" s="116" t="s">
        <v>19</v>
      </c>
      <c r="B5" s="117">
        <v>8.3333333333333329E-2</v>
      </c>
      <c r="C5" s="117">
        <v>0</v>
      </c>
      <c r="D5" s="117">
        <v>0.4</v>
      </c>
      <c r="E5" s="117">
        <v>0.1111111111111111</v>
      </c>
      <c r="F5" s="117">
        <v>0.25</v>
      </c>
      <c r="G5" s="117">
        <v>0.13333333333333333</v>
      </c>
      <c r="H5" s="117">
        <v>0.2857142857142857</v>
      </c>
      <c r="I5" s="117">
        <v>0.1</v>
      </c>
      <c r="J5" s="117">
        <v>0.2</v>
      </c>
      <c r="K5" s="117">
        <v>0.42857142857142855</v>
      </c>
    </row>
    <row r="6" spans="1:11" ht="15" customHeight="1" x14ac:dyDescent="0.2">
      <c r="A6" s="118" t="s">
        <v>129</v>
      </c>
      <c r="B6" s="117">
        <v>0.25806451612903225</v>
      </c>
      <c r="C6" s="117">
        <v>0.14705882352941177</v>
      </c>
      <c r="D6" s="117">
        <v>0.21951219512195122</v>
      </c>
      <c r="E6" s="117">
        <v>0.16216216216216217</v>
      </c>
      <c r="F6" s="117">
        <v>0.16666666666666666</v>
      </c>
      <c r="G6" s="117">
        <v>0.125</v>
      </c>
      <c r="H6" s="117">
        <v>0.23333333333333334</v>
      </c>
      <c r="I6" s="117">
        <v>0.19354838709677419</v>
      </c>
      <c r="J6" s="117">
        <v>0.31034482758620691</v>
      </c>
      <c r="K6" s="117">
        <v>0.12</v>
      </c>
    </row>
    <row r="7" spans="1:11" ht="15" customHeight="1" x14ac:dyDescent="0.2">
      <c r="A7" s="118" t="s">
        <v>148</v>
      </c>
      <c r="B7" s="117">
        <v>0.21666666666666667</v>
      </c>
      <c r="C7" s="117">
        <v>0.12698412698412698</v>
      </c>
      <c r="D7" s="117">
        <v>0.17543859649122806</v>
      </c>
      <c r="E7" s="117">
        <v>0.2608695652173913</v>
      </c>
      <c r="F7" s="117">
        <v>0.21951219512195122</v>
      </c>
      <c r="G7" s="117">
        <v>0.21428571428571427</v>
      </c>
      <c r="H7" s="117">
        <v>0.25</v>
      </c>
      <c r="I7" s="117">
        <v>0.18181818181818182</v>
      </c>
      <c r="J7" s="117">
        <v>0.27777777777777779</v>
      </c>
      <c r="K7" s="117">
        <v>0.19354838709677419</v>
      </c>
    </row>
    <row r="8" spans="1:11" ht="15" customHeight="1" x14ac:dyDescent="0.2">
      <c r="A8" s="118" t="s">
        <v>163</v>
      </c>
      <c r="B8" s="117">
        <v>6.6666666666666666E-2</v>
      </c>
      <c r="C8" s="117">
        <v>0</v>
      </c>
      <c r="D8" s="117">
        <v>0</v>
      </c>
      <c r="E8" s="117">
        <v>8.3333333333333329E-2</v>
      </c>
      <c r="F8" s="117">
        <v>7.6923076923076927E-2</v>
      </c>
      <c r="G8" s="117">
        <v>9.0909090909090912E-2</v>
      </c>
      <c r="H8" s="117">
        <v>7.6923076923076927E-2</v>
      </c>
      <c r="I8" s="117">
        <v>0</v>
      </c>
      <c r="J8" s="117">
        <v>7.1428571428571425E-2</v>
      </c>
      <c r="K8" s="117">
        <v>0</v>
      </c>
    </row>
    <row r="9" spans="1:11" ht="15" customHeight="1" x14ac:dyDescent="0.2">
      <c r="A9" s="118" t="s">
        <v>180</v>
      </c>
      <c r="B9" s="117">
        <v>4.9180327868852458E-2</v>
      </c>
      <c r="C9" s="117">
        <v>0.15</v>
      </c>
      <c r="D9" s="117">
        <v>0.14754098360655737</v>
      </c>
      <c r="E9" s="117">
        <v>0.18461538461538463</v>
      </c>
      <c r="F9" s="117">
        <v>0.17647058823529413</v>
      </c>
      <c r="G9" s="117">
        <v>0.17460317460317459</v>
      </c>
      <c r="H9" s="117">
        <v>0.24590163934426229</v>
      </c>
      <c r="I9" s="117">
        <v>0.16949152542372881</v>
      </c>
      <c r="J9" s="117">
        <v>5.5555555555555552E-2</v>
      </c>
      <c r="K9" s="117">
        <v>8.3333333333333329E-2</v>
      </c>
    </row>
    <row r="10" spans="1:11" ht="15" customHeight="1" x14ac:dyDescent="0.2">
      <c r="A10" s="118" t="s">
        <v>197</v>
      </c>
      <c r="B10" s="117">
        <v>0.1951219512195122</v>
      </c>
      <c r="C10" s="117">
        <v>0.17499999999999999</v>
      </c>
      <c r="D10" s="117">
        <v>0.10810810810810811</v>
      </c>
      <c r="E10" s="117">
        <v>0.1388888888888889</v>
      </c>
      <c r="F10" s="117">
        <v>0.22580645161290322</v>
      </c>
      <c r="G10" s="117">
        <v>0.23333333333333334</v>
      </c>
      <c r="H10" s="117">
        <v>0.23333333333333334</v>
      </c>
      <c r="I10" s="117">
        <v>0.23076923076923078</v>
      </c>
      <c r="J10" s="117">
        <v>0.22222222222222221</v>
      </c>
      <c r="K10" s="117">
        <v>0.23076923076923078</v>
      </c>
    </row>
    <row r="11" spans="1:11" ht="15" customHeight="1" x14ac:dyDescent="0.2">
      <c r="A11" s="118" t="s">
        <v>214</v>
      </c>
      <c r="B11" s="117">
        <v>0</v>
      </c>
      <c r="C11" s="117">
        <v>0.08</v>
      </c>
      <c r="D11" s="117">
        <v>0.08</v>
      </c>
      <c r="E11" s="117">
        <v>7.407407407407407E-2</v>
      </c>
      <c r="F11" s="117">
        <v>0.13043478260869565</v>
      </c>
      <c r="G11" s="117">
        <v>0.11538461538461539</v>
      </c>
      <c r="H11" s="117">
        <v>0.10714285714285714</v>
      </c>
      <c r="I11" s="117">
        <v>6.6666666666666666E-2</v>
      </c>
      <c r="J11" s="117">
        <v>9.6774193548387094E-2</v>
      </c>
      <c r="K11" s="117">
        <v>7.6923076923076927E-2</v>
      </c>
    </row>
    <row r="12" spans="1:11" ht="15" customHeight="1" x14ac:dyDescent="0.2">
      <c r="A12" s="118" t="s">
        <v>232</v>
      </c>
      <c r="B12" s="117">
        <v>4.6153846153846156E-2</v>
      </c>
      <c r="C12" s="117">
        <v>8.4745762711864403E-2</v>
      </c>
      <c r="D12" s="117">
        <v>5.8823529411764705E-2</v>
      </c>
      <c r="E12" s="117">
        <v>6.7796610169491525E-2</v>
      </c>
      <c r="F12" s="117">
        <v>6.25E-2</v>
      </c>
      <c r="G12" s="117">
        <v>1.9230769230769232E-2</v>
      </c>
      <c r="H12" s="117">
        <v>0</v>
      </c>
      <c r="I12" s="117">
        <v>2.6315789473684209E-2</v>
      </c>
      <c r="J12" s="117">
        <v>0</v>
      </c>
      <c r="K12" s="117">
        <v>0</v>
      </c>
    </row>
    <row r="13" spans="1:11" ht="15" customHeight="1" x14ac:dyDescent="0.2">
      <c r="A13" s="118" t="s">
        <v>251</v>
      </c>
      <c r="B13" s="117">
        <v>5.2785923753665689E-3</v>
      </c>
      <c r="C13" s="117">
        <v>1.9801980198019802E-2</v>
      </c>
      <c r="D13" s="117">
        <v>1.7867778439547351E-2</v>
      </c>
      <c r="E13" s="117">
        <v>2.7301587301587302E-2</v>
      </c>
      <c r="F13" s="117">
        <v>2.9097387173396674E-2</v>
      </c>
      <c r="G13" s="117">
        <v>2.6331538001196888E-2</v>
      </c>
      <c r="H13" s="117">
        <v>2.0320197044334975E-2</v>
      </c>
      <c r="I13" s="117">
        <v>2.0287958115183247E-2</v>
      </c>
      <c r="J13" s="117">
        <v>2.6827632461435279E-2</v>
      </c>
      <c r="K13" s="117">
        <v>1.7333333333333333E-2</v>
      </c>
    </row>
    <row r="14" spans="1:11" ht="15" customHeight="1" x14ac:dyDescent="0.2">
      <c r="A14" s="118" t="s">
        <v>266</v>
      </c>
      <c r="B14" s="117">
        <v>0.55555555555555558</v>
      </c>
      <c r="C14" s="117">
        <v>0.625</v>
      </c>
      <c r="D14" s="117">
        <v>0.18181818181818182</v>
      </c>
      <c r="E14" s="117">
        <v>9.0909090909090912E-2</v>
      </c>
      <c r="F14" s="117">
        <v>0.4</v>
      </c>
      <c r="G14" s="117">
        <v>0.22222222222222221</v>
      </c>
      <c r="H14" s="117">
        <v>0</v>
      </c>
      <c r="I14" s="117">
        <v>0.14285714285714285</v>
      </c>
      <c r="J14" s="117">
        <v>0</v>
      </c>
      <c r="K14" s="117">
        <v>0</v>
      </c>
    </row>
    <row r="15" spans="1:11" ht="15" customHeight="1" x14ac:dyDescent="0.2">
      <c r="A15" s="118" t="s">
        <v>280</v>
      </c>
      <c r="B15" s="117">
        <v>0.69230769230769229</v>
      </c>
      <c r="C15" s="117">
        <v>0.64</v>
      </c>
      <c r="D15" s="117">
        <v>0.3888888888888889</v>
      </c>
      <c r="E15" s="117">
        <v>0.35</v>
      </c>
      <c r="F15" s="117">
        <v>0.5</v>
      </c>
      <c r="G15" s="117">
        <v>0.36363636363636365</v>
      </c>
      <c r="H15" s="117">
        <v>0.35</v>
      </c>
      <c r="I15" s="117">
        <v>0.31818181818181818</v>
      </c>
      <c r="J15" s="117">
        <v>0.2857142857142857</v>
      </c>
      <c r="K15" s="117">
        <v>0</v>
      </c>
    </row>
    <row r="16" spans="1:11" ht="15" customHeight="1" x14ac:dyDescent="0.2">
      <c r="A16" s="118" t="s">
        <v>291</v>
      </c>
      <c r="B16" s="117">
        <v>0.44578313253012047</v>
      </c>
      <c r="C16" s="117">
        <v>0.47222222222222221</v>
      </c>
      <c r="D16" s="117">
        <v>0.35185185185185186</v>
      </c>
      <c r="E16" s="117">
        <v>0.4576271186440678</v>
      </c>
      <c r="F16" s="117">
        <v>0.44186046511627908</v>
      </c>
      <c r="G16" s="117">
        <v>0.55102040816326525</v>
      </c>
      <c r="H16" s="117">
        <v>0.62264150943396224</v>
      </c>
      <c r="I16" s="117">
        <v>0.42499999999999999</v>
      </c>
      <c r="J16" s="117">
        <v>0.2361111111111111</v>
      </c>
      <c r="K16" s="117">
        <v>0.16981132075471697</v>
      </c>
    </row>
    <row r="17" spans="1:11" ht="15" customHeight="1" x14ac:dyDescent="0.2">
      <c r="A17" s="118" t="s">
        <v>304</v>
      </c>
      <c r="B17" s="117">
        <v>0.2153846153846154</v>
      </c>
      <c r="C17" s="117">
        <v>0.13636363636363635</v>
      </c>
      <c r="D17" s="117">
        <v>0.17543859649122806</v>
      </c>
      <c r="E17" s="117">
        <v>0.24285714285714285</v>
      </c>
      <c r="F17" s="117">
        <v>0.36206896551724138</v>
      </c>
      <c r="G17" s="117">
        <v>0.34920634920634919</v>
      </c>
      <c r="H17" s="117">
        <v>0.27142857142857141</v>
      </c>
      <c r="I17" s="117">
        <v>0.22222222222222221</v>
      </c>
      <c r="J17" s="117">
        <v>0.12121212121212122</v>
      </c>
      <c r="K17" s="117">
        <v>0.10294117647058823</v>
      </c>
    </row>
    <row r="18" spans="1:11" ht="15" customHeight="1" x14ac:dyDescent="0.2">
      <c r="A18" s="118" t="s">
        <v>316</v>
      </c>
      <c r="B18" s="117">
        <v>0.51111111111111107</v>
      </c>
      <c r="C18" s="117">
        <v>0.58695652173913049</v>
      </c>
      <c r="D18" s="117">
        <v>0.51020408163265307</v>
      </c>
      <c r="E18" s="117">
        <v>0.69444444444444442</v>
      </c>
      <c r="F18" s="117">
        <v>0.72093023255813948</v>
      </c>
      <c r="G18" s="117">
        <v>0.52272727272727271</v>
      </c>
      <c r="H18" s="117">
        <v>0.48837209302325579</v>
      </c>
      <c r="I18" s="117">
        <v>0.46666666666666667</v>
      </c>
      <c r="J18" s="117">
        <v>0.45238095238095238</v>
      </c>
      <c r="K18" s="117">
        <v>0.36585365853658536</v>
      </c>
    </row>
    <row r="19" spans="1:11" ht="15" customHeight="1" x14ac:dyDescent="0.2">
      <c r="A19" s="118" t="s">
        <v>329</v>
      </c>
      <c r="B19" s="117">
        <v>0.5625</v>
      </c>
      <c r="C19" s="117">
        <v>0.46666666666666667</v>
      </c>
      <c r="D19" s="117">
        <v>0.45</v>
      </c>
      <c r="E19" s="117">
        <v>0.6</v>
      </c>
      <c r="F19" s="117">
        <v>0.42857142857142855</v>
      </c>
      <c r="G19" s="117">
        <v>0.28000000000000003</v>
      </c>
      <c r="H19" s="117">
        <v>0.36</v>
      </c>
      <c r="I19" s="117">
        <v>0.4</v>
      </c>
      <c r="J19" s="117">
        <v>0.39130434782608697</v>
      </c>
      <c r="K19" s="117">
        <v>0.25925925925925924</v>
      </c>
    </row>
    <row r="20" spans="1:11" ht="15" customHeight="1" x14ac:dyDescent="0.2">
      <c r="A20" s="118" t="s">
        <v>341</v>
      </c>
      <c r="B20" s="117">
        <v>0.47058823529411764</v>
      </c>
      <c r="C20" s="117">
        <v>0.69230769230769229</v>
      </c>
      <c r="D20" s="117">
        <v>0.41176470588235292</v>
      </c>
      <c r="E20" s="117">
        <v>0.63157894736842102</v>
      </c>
      <c r="F20" s="117">
        <v>0.625</v>
      </c>
      <c r="G20" s="117">
        <v>0.8125</v>
      </c>
      <c r="H20" s="117">
        <v>0.52941176470588236</v>
      </c>
      <c r="I20" s="117">
        <v>0.4</v>
      </c>
      <c r="J20" s="117">
        <v>0.21428571428571427</v>
      </c>
      <c r="K20" s="117">
        <v>9.5238095238095233E-2</v>
      </c>
    </row>
    <row r="21" spans="1:11" ht="15" customHeight="1" x14ac:dyDescent="0.2">
      <c r="A21" s="118" t="s">
        <v>354</v>
      </c>
      <c r="B21" s="117">
        <v>0.44117647058823528</v>
      </c>
      <c r="C21" s="117">
        <v>0.5</v>
      </c>
      <c r="D21" s="117">
        <v>0.5</v>
      </c>
      <c r="E21" s="117">
        <v>0.47058823529411764</v>
      </c>
      <c r="F21" s="117">
        <v>0.46666666666666667</v>
      </c>
      <c r="G21" s="117">
        <v>0.39393939393939392</v>
      </c>
      <c r="H21" s="117">
        <v>0.45945945945945948</v>
      </c>
      <c r="I21" s="117">
        <v>0.5</v>
      </c>
      <c r="J21" s="117">
        <v>0.57692307692307687</v>
      </c>
      <c r="K21" s="117">
        <v>0.29268292682926828</v>
      </c>
    </row>
    <row r="22" spans="1:11" ht="15" customHeight="1" x14ac:dyDescent="0.2">
      <c r="A22" s="118" t="s">
        <v>367</v>
      </c>
      <c r="B22" s="117">
        <v>0.14285714285714285</v>
      </c>
      <c r="C22" s="117">
        <v>0.36363636363636365</v>
      </c>
      <c r="D22" s="117">
        <v>0.42857142857142855</v>
      </c>
      <c r="E22" s="117">
        <v>0.26666666666666666</v>
      </c>
      <c r="F22" s="117">
        <v>0.27272727272727271</v>
      </c>
      <c r="G22" s="117">
        <v>0.25</v>
      </c>
      <c r="H22" s="117">
        <v>0.21052631578947367</v>
      </c>
      <c r="I22" s="117">
        <v>0.10526315789473684</v>
      </c>
      <c r="J22" s="117">
        <v>0.1111111111111111</v>
      </c>
      <c r="K22" s="117">
        <v>8.3333333333333329E-2</v>
      </c>
    </row>
    <row r="23" spans="1:11" ht="15" customHeight="1" x14ac:dyDescent="0.2">
      <c r="A23" s="118" t="s">
        <v>380</v>
      </c>
      <c r="B23" s="117">
        <v>0.10614525139664804</v>
      </c>
      <c r="C23" s="117">
        <v>0.13450292397660818</v>
      </c>
      <c r="D23" s="117">
        <v>0.15697674418604651</v>
      </c>
      <c r="E23" s="117">
        <v>0.1746987951807229</v>
      </c>
      <c r="F23" s="117">
        <v>0.23270440251572327</v>
      </c>
      <c r="G23" s="117">
        <v>0.18857142857142858</v>
      </c>
      <c r="H23" s="117">
        <v>0.16201117318435754</v>
      </c>
      <c r="I23" s="117">
        <v>0.13368983957219252</v>
      </c>
      <c r="J23" s="117">
        <v>0.12154696132596685</v>
      </c>
      <c r="K23" s="117">
        <v>9.5505617977528087E-2</v>
      </c>
    </row>
    <row r="24" spans="1:11" ht="15" customHeight="1" x14ac:dyDescent="0.2">
      <c r="A24" s="118" t="s">
        <v>393</v>
      </c>
      <c r="B24" s="117">
        <v>0.1</v>
      </c>
      <c r="C24" s="117">
        <v>0.22500000000000001</v>
      </c>
      <c r="D24" s="117">
        <v>0.31395348837209303</v>
      </c>
      <c r="E24" s="117">
        <v>0.26373626373626374</v>
      </c>
      <c r="F24" s="117">
        <v>0.23157894736842105</v>
      </c>
      <c r="G24" s="117">
        <v>0.18478260869565216</v>
      </c>
      <c r="H24" s="117">
        <v>0.21978021978021978</v>
      </c>
      <c r="I24" s="117">
        <v>0.1326530612244898</v>
      </c>
      <c r="J24" s="117">
        <v>0.15238095238095239</v>
      </c>
      <c r="K24" s="117">
        <v>0.11009174311926606</v>
      </c>
    </row>
    <row r="25" spans="1:11" ht="15" customHeight="1" x14ac:dyDescent="0.2">
      <c r="A25" s="118" t="s">
        <v>404</v>
      </c>
      <c r="B25" s="117">
        <v>0.81818181818181823</v>
      </c>
      <c r="C25" s="117">
        <v>0.84210526315789469</v>
      </c>
      <c r="D25" s="117">
        <v>0.15789473684210525</v>
      </c>
      <c r="E25" s="117">
        <v>0.2</v>
      </c>
      <c r="F25" s="117">
        <v>0.72727272727272729</v>
      </c>
      <c r="G25" s="117">
        <v>0.82608695652173914</v>
      </c>
      <c r="H25" s="117">
        <v>0.38461538461538464</v>
      </c>
      <c r="I25" s="117">
        <v>0.38461538461538464</v>
      </c>
      <c r="J25" s="117">
        <v>0.42307692307692307</v>
      </c>
      <c r="K25" s="117">
        <v>0.45833333333333331</v>
      </c>
    </row>
    <row r="26" spans="1:11" ht="15" customHeight="1" x14ac:dyDescent="0.2">
      <c r="A26" s="118" t="s">
        <v>417</v>
      </c>
      <c r="B26" s="117">
        <v>0.21739130434782608</v>
      </c>
      <c r="C26" s="117">
        <v>0.29629629629629628</v>
      </c>
      <c r="D26" s="117">
        <v>0.32</v>
      </c>
      <c r="E26" s="117">
        <v>0.39130434782608697</v>
      </c>
      <c r="F26" s="117">
        <v>0.375</v>
      </c>
      <c r="G26" s="117">
        <v>0.17391304347826086</v>
      </c>
      <c r="H26" s="117">
        <v>0.40909090909090912</v>
      </c>
      <c r="I26" s="117">
        <v>0.44</v>
      </c>
      <c r="J26" s="117">
        <v>0.31818181818181818</v>
      </c>
      <c r="K26" s="117">
        <v>0.12</v>
      </c>
    </row>
    <row r="27" spans="1:11" ht="15" customHeight="1" x14ac:dyDescent="0.2">
      <c r="A27" s="118" t="s">
        <v>458</v>
      </c>
      <c r="B27" s="117">
        <v>7.441860465116279E-2</v>
      </c>
      <c r="C27" s="117">
        <v>0.11659192825112108</v>
      </c>
      <c r="D27" s="117">
        <v>0.12315270935960591</v>
      </c>
      <c r="E27" s="117">
        <v>0.11330049261083744</v>
      </c>
      <c r="F27" s="117">
        <v>0.10362694300518134</v>
      </c>
      <c r="G27" s="117">
        <v>0.14285714285714285</v>
      </c>
      <c r="H27" s="117">
        <v>9.7142857142857142E-2</v>
      </c>
      <c r="I27" s="117">
        <v>0.11392405063291139</v>
      </c>
      <c r="J27" s="117">
        <v>0.1144578313253012</v>
      </c>
      <c r="K27" s="117">
        <v>9.3023255813953487E-2</v>
      </c>
    </row>
    <row r="28" spans="1:11" ht="15" customHeight="1" x14ac:dyDescent="0.2">
      <c r="A28" s="118" t="s">
        <v>470</v>
      </c>
      <c r="B28" s="117">
        <v>6.6202090592334492E-2</v>
      </c>
      <c r="C28" s="117">
        <v>0.10424710424710425</v>
      </c>
      <c r="D28" s="117">
        <v>4.7808764940239043E-2</v>
      </c>
      <c r="E28" s="117">
        <v>8.3333333333333329E-2</v>
      </c>
      <c r="F28" s="117">
        <v>0.11607142857142858</v>
      </c>
      <c r="G28" s="117">
        <v>0.10599078341013825</v>
      </c>
      <c r="H28" s="117">
        <v>8.5561497326203204E-2</v>
      </c>
      <c r="I28" s="117">
        <v>5.6603773584905662E-2</v>
      </c>
      <c r="J28" s="117">
        <v>5.9113300492610835E-2</v>
      </c>
      <c r="K28" s="117">
        <v>3.3898305084745763E-2</v>
      </c>
    </row>
    <row r="29" spans="1:11" ht="15" customHeight="1" x14ac:dyDescent="0.2">
      <c r="A29" s="118" t="s">
        <v>483</v>
      </c>
      <c r="B29" s="117">
        <v>4.6961325966850827E-2</v>
      </c>
      <c r="C29" s="117">
        <v>7.506950880444857E-2</v>
      </c>
      <c r="D29" s="117">
        <v>0.12087912087912088</v>
      </c>
      <c r="E29" s="117">
        <v>0.1324376199616123</v>
      </c>
      <c r="F29" s="117">
        <v>0.15034619188921861</v>
      </c>
      <c r="G29" s="117">
        <v>0.12051517939282429</v>
      </c>
      <c r="H29" s="117">
        <v>0.11649659863945579</v>
      </c>
      <c r="I29" s="117">
        <v>9.5753538717735218E-2</v>
      </c>
      <c r="J29" s="117">
        <v>8.9271089271089274E-2</v>
      </c>
      <c r="K29" s="117">
        <v>7.635694572217111E-2</v>
      </c>
    </row>
    <row r="30" spans="1:11" ht="15" customHeight="1" x14ac:dyDescent="0.2">
      <c r="A30" s="118" t="s">
        <v>495</v>
      </c>
      <c r="B30" s="117">
        <v>5.1470588235294115E-2</v>
      </c>
      <c r="C30" s="117">
        <v>0.10563380281690141</v>
      </c>
      <c r="D30" s="117">
        <v>6.7114093959731544E-2</v>
      </c>
      <c r="E30" s="117">
        <v>5.3691275167785234E-2</v>
      </c>
      <c r="F30" s="117">
        <v>8.7591240875912413E-2</v>
      </c>
      <c r="G30" s="117">
        <v>0.11976047904191617</v>
      </c>
      <c r="H30" s="117">
        <v>0.10344827586206896</v>
      </c>
      <c r="I30" s="117">
        <v>0.11057692307692307</v>
      </c>
      <c r="J30" s="117">
        <v>0.12626262626262627</v>
      </c>
      <c r="K30" s="117">
        <v>8.9552238805970144E-2</v>
      </c>
    </row>
    <row r="31" spans="1:11" ht="15" customHeight="1" x14ac:dyDescent="0.2">
      <c r="A31" s="118" t="s">
        <v>507</v>
      </c>
      <c r="B31" s="117">
        <v>0.17241379310344829</v>
      </c>
      <c r="C31" s="117">
        <v>0.25</v>
      </c>
      <c r="D31" s="117">
        <v>0.3783783783783784</v>
      </c>
      <c r="E31" s="117">
        <v>0.32500000000000001</v>
      </c>
      <c r="F31" s="117">
        <v>0.41463414634146339</v>
      </c>
      <c r="G31" s="117">
        <v>0.45098039215686275</v>
      </c>
      <c r="H31" s="117">
        <v>0.37209302325581395</v>
      </c>
      <c r="I31" s="117">
        <v>0.4</v>
      </c>
      <c r="J31" s="117">
        <v>0.36</v>
      </c>
      <c r="K31" s="117">
        <v>0.44444444444444442</v>
      </c>
    </row>
    <row r="32" spans="1:11" ht="15" customHeight="1" x14ac:dyDescent="0.2">
      <c r="A32" s="118" t="s">
        <v>518</v>
      </c>
      <c r="B32" s="117">
        <v>0.19148936170212766</v>
      </c>
      <c r="C32" s="117">
        <v>0.30303030303030304</v>
      </c>
      <c r="D32" s="117">
        <v>0.26041666666666669</v>
      </c>
      <c r="E32" s="117">
        <v>0.25555555555555554</v>
      </c>
      <c r="F32" s="117">
        <v>0.24719101123595505</v>
      </c>
      <c r="G32" s="117">
        <v>0.22222222222222221</v>
      </c>
      <c r="H32" s="117">
        <v>0.22972972972972974</v>
      </c>
      <c r="I32" s="117">
        <v>0.22950819672131148</v>
      </c>
      <c r="J32" s="117">
        <v>0.23333333333333334</v>
      </c>
      <c r="K32" s="117">
        <v>0.22641509433962265</v>
      </c>
    </row>
    <row r="33" spans="1:11" ht="15" customHeight="1" x14ac:dyDescent="0.2">
      <c r="A33" s="118" t="s">
        <v>430</v>
      </c>
      <c r="B33" s="117">
        <v>0.17499999999999999</v>
      </c>
      <c r="C33" s="117">
        <v>0.31034482758620691</v>
      </c>
      <c r="D33" s="117">
        <v>0.26041666666666669</v>
      </c>
      <c r="E33" s="117">
        <v>0.29896907216494845</v>
      </c>
      <c r="F33" s="117">
        <v>0.29347826086956524</v>
      </c>
      <c r="G33" s="117">
        <v>0.32967032967032966</v>
      </c>
      <c r="H33" s="117">
        <v>0.21590909090909091</v>
      </c>
      <c r="I33" s="117">
        <v>0.30864197530864196</v>
      </c>
      <c r="J33" s="117">
        <v>0.27631578947368424</v>
      </c>
      <c r="K33" s="117">
        <v>0.27536231884057971</v>
      </c>
    </row>
    <row r="34" spans="1:11" ht="15" customHeight="1" x14ac:dyDescent="0.2">
      <c r="A34" s="118" t="s">
        <v>443</v>
      </c>
      <c r="B34" s="117">
        <v>0.10928961748633879</v>
      </c>
      <c r="C34" s="117">
        <v>0.12658227848101267</v>
      </c>
      <c r="D34" s="117">
        <v>0.12690355329949238</v>
      </c>
      <c r="E34" s="117">
        <v>0.18229166666666666</v>
      </c>
      <c r="F34" s="117">
        <v>0.14601769911504425</v>
      </c>
      <c r="G34" s="117">
        <v>0.15469613259668508</v>
      </c>
      <c r="H34" s="117">
        <v>0.1380952380952381</v>
      </c>
      <c r="I34" s="117">
        <v>0.13744075829383887</v>
      </c>
      <c r="J34" s="117">
        <v>0.14814814814814814</v>
      </c>
      <c r="K34" s="117">
        <v>0.10256410256410256</v>
      </c>
    </row>
  </sheetData>
  <mergeCells count="2">
    <mergeCell ref="J1:K1"/>
    <mergeCell ref="A2:K2"/>
  </mergeCells>
  <hyperlinks>
    <hyperlink ref="J1:K1" location="Home_page" display="Back to_x000a_home page" xr:uid="{D1072760-71B5-4A96-A943-5623A4C47376}"/>
  </hyperlinks>
  <pageMargins left="0.70866141732283472" right="0.70866141732283472" top="0.74803149606299213" bottom="0.74803149606299213" header="0.31496062992125984" footer="0.31496062992125984"/>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9D573-12E1-4F7E-9559-12D5E1F41F3C}">
  <sheetPr codeName="Feuil40">
    <pageSetUpPr fitToPage="1"/>
  </sheetPr>
  <dimension ref="A1:N33"/>
  <sheetViews>
    <sheetView workbookViewId="0"/>
  </sheetViews>
  <sheetFormatPr defaultColWidth="8.625" defaultRowHeight="15" customHeight="1" x14ac:dyDescent="0.2"/>
  <cols>
    <col min="1" max="1" width="32.125" style="56" customWidth="1"/>
    <col min="2" max="2" width="6.625" style="56" customWidth="1"/>
    <col min="3" max="13" width="6.625" style="37" customWidth="1"/>
    <col min="14" max="24" width="6.625" style="56" customWidth="1"/>
    <col min="25" max="16384" width="8.625" style="56"/>
  </cols>
  <sheetData>
    <row r="1" spans="1:14" s="112" customFormat="1" ht="33" customHeight="1" thickBot="1" x14ac:dyDescent="0.25">
      <c r="A1" s="20" t="s">
        <v>531</v>
      </c>
      <c r="B1" s="20"/>
      <c r="C1" s="20"/>
      <c r="D1" s="20"/>
      <c r="E1" s="20"/>
      <c r="F1" s="20"/>
      <c r="G1" s="20"/>
      <c r="H1" s="20"/>
      <c r="I1" s="20"/>
      <c r="L1" s="212" t="s">
        <v>3</v>
      </c>
      <c r="M1" s="212"/>
      <c r="N1" s="122"/>
    </row>
    <row r="2" spans="1:14" ht="15" customHeight="1" thickBot="1" x14ac:dyDescent="0.25">
      <c r="A2" s="113" t="s">
        <v>530</v>
      </c>
      <c r="B2" s="114" t="s">
        <v>39</v>
      </c>
      <c r="C2" s="123">
        <v>2011</v>
      </c>
      <c r="D2" s="123">
        <v>2012</v>
      </c>
      <c r="E2" s="123">
        <v>2013</v>
      </c>
      <c r="F2" s="123">
        <v>2014</v>
      </c>
      <c r="G2" s="123">
        <v>2015</v>
      </c>
      <c r="H2" s="123">
        <v>2016</v>
      </c>
      <c r="I2" s="123">
        <v>2017</v>
      </c>
      <c r="J2" s="123">
        <v>2018</v>
      </c>
      <c r="K2" s="123">
        <v>2019</v>
      </c>
      <c r="L2" s="123">
        <v>2020</v>
      </c>
      <c r="M2" s="115" t="s">
        <v>532</v>
      </c>
      <c r="N2" s="122"/>
    </row>
    <row r="3" spans="1:14" ht="15" customHeight="1" x14ac:dyDescent="0.2">
      <c r="A3" s="116" t="s">
        <v>19</v>
      </c>
      <c r="C3" s="117">
        <v>6.4624989807124972E-2</v>
      </c>
      <c r="D3" s="117">
        <v>8.8957626648430405E-2</v>
      </c>
      <c r="E3" s="117">
        <v>0.14218009568574011</v>
      </c>
      <c r="F3" s="117">
        <v>0.12252707093993778</v>
      </c>
      <c r="G3" s="117">
        <v>0.20119487638902897</v>
      </c>
      <c r="H3" s="117">
        <v>0.24547692656899059</v>
      </c>
      <c r="I3" s="117">
        <v>0.17781815345389437</v>
      </c>
      <c r="J3" s="117">
        <v>0.16612401737530491</v>
      </c>
      <c r="K3" s="117">
        <v>0.2079412465826799</v>
      </c>
      <c r="L3" s="117">
        <v>3.1754075658928363E-2</v>
      </c>
      <c r="M3" s="117">
        <v>-3.1844654627921749E-2</v>
      </c>
      <c r="N3" s="122"/>
    </row>
    <row r="4" spans="1:14" ht="15" customHeight="1" x14ac:dyDescent="0.2">
      <c r="A4" s="118" t="s">
        <v>129</v>
      </c>
      <c r="C4" s="117">
        <v>0.17959552775561113</v>
      </c>
      <c r="D4" s="117">
        <v>0.25504555069196622</v>
      </c>
      <c r="E4" s="117">
        <v>0.19364544456691976</v>
      </c>
      <c r="F4" s="117">
        <v>0.17141854029405046</v>
      </c>
      <c r="G4" s="117">
        <v>0.27539122159954926</v>
      </c>
      <c r="H4" s="117">
        <v>0.30219896876460406</v>
      </c>
      <c r="I4" s="117">
        <v>0.25621727236871639</v>
      </c>
      <c r="J4" s="117">
        <v>0.17046815593974857</v>
      </c>
      <c r="K4" s="117">
        <v>0.26358513605065292</v>
      </c>
      <c r="L4" s="117">
        <v>0.18148660288936652</v>
      </c>
      <c r="M4" s="117">
        <v>0.12670046511286531</v>
      </c>
      <c r="N4" s="122"/>
    </row>
    <row r="5" spans="1:14" ht="15" customHeight="1" x14ac:dyDescent="0.2">
      <c r="A5" s="118" t="s">
        <v>148</v>
      </c>
      <c r="C5" s="117">
        <v>0.24083187813046694</v>
      </c>
      <c r="D5" s="117">
        <v>0.22282742305114853</v>
      </c>
      <c r="E5" s="117">
        <v>0.21033605941558237</v>
      </c>
      <c r="F5" s="117">
        <v>0.16296920666626746</v>
      </c>
      <c r="G5" s="117">
        <v>0.20361969168419489</v>
      </c>
      <c r="H5" s="117">
        <v>0.21953488807383431</v>
      </c>
      <c r="I5" s="117">
        <v>0.24633282404877016</v>
      </c>
      <c r="J5" s="117">
        <v>0.20616904033422076</v>
      </c>
      <c r="K5" s="117">
        <v>0.16538578100643481</v>
      </c>
      <c r="L5" s="117">
        <v>0.27569509075846088</v>
      </c>
      <c r="M5" s="117">
        <v>0.1689592760052919</v>
      </c>
      <c r="N5" s="122"/>
    </row>
    <row r="6" spans="1:14" ht="15" customHeight="1" x14ac:dyDescent="0.2">
      <c r="A6" s="118" t="s">
        <v>163</v>
      </c>
      <c r="C6" s="117">
        <v>0.2128027641583681</v>
      </c>
      <c r="D6" s="117">
        <v>-7.9576564037552762E-3</v>
      </c>
      <c r="E6" s="117">
        <v>-9.5772558559811607E-3</v>
      </c>
      <c r="F6" s="117">
        <v>2.1263719484829472E-2</v>
      </c>
      <c r="G6" s="117">
        <v>6.7477398323561449E-2</v>
      </c>
      <c r="H6" s="117">
        <v>0.33128321464698895</v>
      </c>
      <c r="I6" s="117">
        <v>7.3227302796315813E-2</v>
      </c>
      <c r="J6" s="117">
        <v>3.4946901317472551E-2</v>
      </c>
      <c r="K6" s="117">
        <v>6.7025240094337177E-2</v>
      </c>
      <c r="L6" s="117">
        <v>2.9583391142505234E-2</v>
      </c>
      <c r="M6" s="117">
        <v>2.7088041269944983E-2</v>
      </c>
      <c r="N6" s="122"/>
    </row>
    <row r="7" spans="1:14" ht="15" customHeight="1" x14ac:dyDescent="0.2">
      <c r="A7" s="118" t="s">
        <v>180</v>
      </c>
      <c r="C7" s="117">
        <v>3.8553235060960901E-2</v>
      </c>
      <c r="D7" s="117">
        <v>0.18727243381660158</v>
      </c>
      <c r="E7" s="117">
        <v>0.16639180000445897</v>
      </c>
      <c r="F7" s="117">
        <v>0.23516712814615381</v>
      </c>
      <c r="G7" s="117">
        <v>0.21670076419453593</v>
      </c>
      <c r="H7" s="117">
        <v>0.32506508135584833</v>
      </c>
      <c r="I7" s="117">
        <v>0.29900709253492436</v>
      </c>
      <c r="J7" s="117">
        <v>0.22925516908911867</v>
      </c>
      <c r="K7" s="117">
        <v>0.22503895582409894</v>
      </c>
      <c r="L7" s="117">
        <v>0.16796707588050222</v>
      </c>
      <c r="M7" s="117">
        <v>0.17108582114800935</v>
      </c>
      <c r="N7" s="122"/>
    </row>
    <row r="8" spans="1:14" ht="15" customHeight="1" x14ac:dyDescent="0.2">
      <c r="A8" s="118" t="s">
        <v>197</v>
      </c>
      <c r="C8" s="117">
        <v>6.8833911381397911E-2</v>
      </c>
      <c r="D8" s="117">
        <v>0.23642948648749906</v>
      </c>
      <c r="E8" s="117">
        <v>0.11335763688664464</v>
      </c>
      <c r="F8" s="117">
        <v>0.25672900836346751</v>
      </c>
      <c r="G8" s="117">
        <v>0.3131273140464349</v>
      </c>
      <c r="H8" s="117">
        <v>0.20494382377982834</v>
      </c>
      <c r="I8" s="117">
        <v>0.13501423784277017</v>
      </c>
      <c r="J8" s="117">
        <v>0.10762268672602301</v>
      </c>
      <c r="K8" s="117">
        <v>0.13028922912284061</v>
      </c>
      <c r="L8" s="117">
        <v>0.10009133506768014</v>
      </c>
      <c r="M8" s="117">
        <v>9.921553641959388E-2</v>
      </c>
      <c r="N8" s="122"/>
    </row>
    <row r="9" spans="1:14" ht="15" customHeight="1" x14ac:dyDescent="0.2">
      <c r="A9" s="118" t="s">
        <v>214</v>
      </c>
      <c r="C9" s="117">
        <v>0.22666540859497394</v>
      </c>
      <c r="D9" s="117">
        <v>-3.1108323507128752E-2</v>
      </c>
      <c r="E9" s="117">
        <v>0.18114166355321606</v>
      </c>
      <c r="F9" s="117">
        <v>0.17073209641022483</v>
      </c>
      <c r="G9" s="117">
        <v>0.29490746847653732</v>
      </c>
      <c r="H9" s="117">
        <v>0.29791046773320046</v>
      </c>
      <c r="I9" s="117">
        <v>0.13258161537009736</v>
      </c>
      <c r="J9" s="117">
        <v>0.13625807632264245</v>
      </c>
      <c r="K9" s="117">
        <v>0.20598393708511573</v>
      </c>
      <c r="L9" s="117">
        <v>-3.1729375102074256E-3</v>
      </c>
      <c r="M9" s="117">
        <v>7.6286070147993643E-2</v>
      </c>
      <c r="N9" s="122"/>
    </row>
    <row r="10" spans="1:14" ht="15" customHeight="1" x14ac:dyDescent="0.2">
      <c r="A10" s="118" t="s">
        <v>232</v>
      </c>
      <c r="C10" s="117">
        <v>-0.22550208288997009</v>
      </c>
      <c r="D10" s="117">
        <v>-0.42173779951359547</v>
      </c>
      <c r="E10" s="117">
        <v>-0.63559747824527901</v>
      </c>
      <c r="F10" s="117">
        <v>-1.2745782927075722</v>
      </c>
      <c r="G10" s="117">
        <v>-0.68591823624996284</v>
      </c>
      <c r="H10" s="117">
        <v>-0.36251524113519251</v>
      </c>
      <c r="I10" s="117">
        <v>-0.82121039238611637</v>
      </c>
      <c r="J10" s="117">
        <v>-0.65574835163600942</v>
      </c>
      <c r="K10" s="117">
        <v>-0.51121597609796232</v>
      </c>
      <c r="L10" s="117">
        <v>0.10567636037131457</v>
      </c>
      <c r="M10" s="117">
        <v>-3.0171851947247346</v>
      </c>
      <c r="N10" s="122"/>
    </row>
    <row r="11" spans="1:14" ht="15" customHeight="1" x14ac:dyDescent="0.2">
      <c r="A11" s="118" t="s">
        <v>251</v>
      </c>
      <c r="C11" s="117">
        <v>0.1820793529978659</v>
      </c>
      <c r="D11" s="117">
        <v>0.18188555080766683</v>
      </c>
      <c r="E11" s="117">
        <v>7.009260707586072E-3</v>
      </c>
      <c r="F11" s="117">
        <v>0.1541633032055835</v>
      </c>
      <c r="G11" s="117">
        <v>-0.14752211888087499</v>
      </c>
      <c r="H11" s="117">
        <v>0.1553611174985666</v>
      </c>
      <c r="I11" s="117">
        <v>0.27877574292344681</v>
      </c>
      <c r="J11" s="117">
        <v>4.8476518239512573E-2</v>
      </c>
      <c r="K11" s="117">
        <v>-4.9794878810649819E-2</v>
      </c>
      <c r="L11" s="117">
        <v>9.6040188079445796E-2</v>
      </c>
      <c r="M11" s="117">
        <v>-9.6513726663817884E-2</v>
      </c>
      <c r="N11" s="122"/>
    </row>
    <row r="12" spans="1:14" ht="15" customHeight="1" x14ac:dyDescent="0.2">
      <c r="A12" s="118" t="s">
        <v>266</v>
      </c>
      <c r="C12" s="117">
        <v>5.9674906337539656E-2</v>
      </c>
      <c r="D12" s="117">
        <v>1.9017573748094337E-3</v>
      </c>
      <c r="E12" s="117">
        <v>-5.4213112761361135E-2</v>
      </c>
      <c r="F12" s="117">
        <v>-1.9681483023979891E-2</v>
      </c>
      <c r="G12" s="117">
        <v>7.1266102768688042E-2</v>
      </c>
      <c r="H12" s="117">
        <v>0.12497067340307741</v>
      </c>
      <c r="I12" s="117">
        <v>4.0584619680502393E-2</v>
      </c>
      <c r="J12" s="117">
        <v>-2.7147328720074183E-2</v>
      </c>
      <c r="K12" s="117">
        <v>-8.6458841872650696E-2</v>
      </c>
      <c r="L12" s="117">
        <v>-0.44777049984715378</v>
      </c>
      <c r="M12" s="117">
        <v>-1.2611979251330712</v>
      </c>
      <c r="N12" s="122"/>
    </row>
    <row r="13" spans="1:14" ht="15" customHeight="1" x14ac:dyDescent="0.2">
      <c r="A13" s="118" t="s">
        <v>280</v>
      </c>
      <c r="C13" s="117">
        <v>-0.27847094758789709</v>
      </c>
      <c r="D13" s="117">
        <v>2.088774700526987E-2</v>
      </c>
      <c r="E13" s="117">
        <v>-7.0140996793746677E-2</v>
      </c>
      <c r="F13" s="117">
        <v>-0.61193145428147455</v>
      </c>
      <c r="G13" s="117">
        <v>1.4773571416015975E-3</v>
      </c>
      <c r="H13" s="117">
        <v>9.9438691150987215E-3</v>
      </c>
      <c r="I13" s="117">
        <v>1.1357765779860349E-2</v>
      </c>
      <c r="J13" s="117">
        <v>8.3702943873873656E-2</v>
      </c>
      <c r="K13" s="117">
        <v>-0.70491681014733243</v>
      </c>
      <c r="L13" s="117">
        <v>-0.4251017733365221</v>
      </c>
      <c r="M13" s="117">
        <v>-1.0553443584744464</v>
      </c>
      <c r="N13" s="122"/>
    </row>
    <row r="14" spans="1:14" ht="15" customHeight="1" x14ac:dyDescent="0.2">
      <c r="A14" s="118" t="s">
        <v>291</v>
      </c>
      <c r="C14" s="117">
        <v>0.11076019998214445</v>
      </c>
      <c r="D14" s="117">
        <v>0.10208902822274289</v>
      </c>
      <c r="E14" s="117">
        <v>8.7174996638242769E-2</v>
      </c>
      <c r="F14" s="117">
        <v>7.9370807358597945E-2</v>
      </c>
      <c r="G14" s="117">
        <v>9.9647042843346897E-2</v>
      </c>
      <c r="H14" s="117">
        <v>0.13345615537609198</v>
      </c>
      <c r="I14" s="117">
        <v>0.12446073551150934</v>
      </c>
      <c r="J14" s="117">
        <v>7.8914077869029972E-3</v>
      </c>
      <c r="K14" s="117">
        <v>0.11434531036699892</v>
      </c>
      <c r="L14" s="117">
        <v>-1.080865539662208E-3</v>
      </c>
      <c r="M14" s="117">
        <v>6.21058280685369E-2</v>
      </c>
      <c r="N14" s="122"/>
    </row>
    <row r="15" spans="1:14" ht="15" customHeight="1" x14ac:dyDescent="0.2">
      <c r="A15" s="118" t="s">
        <v>304</v>
      </c>
      <c r="C15" s="117">
        <v>0.16081176127828234</v>
      </c>
      <c r="D15" s="117">
        <v>0.13092194520379277</v>
      </c>
      <c r="E15" s="117">
        <v>6.4095753462585642E-2</v>
      </c>
      <c r="F15" s="117">
        <v>0.11035863010022193</v>
      </c>
      <c r="G15" s="117">
        <v>7.0190264353798673E-2</v>
      </c>
      <c r="H15" s="117">
        <v>0.1539757484366891</v>
      </c>
      <c r="I15" s="117">
        <v>0.15312084038838708</v>
      </c>
      <c r="J15" s="117">
        <v>8.4314341514724139E-2</v>
      </c>
      <c r="K15" s="117">
        <v>6.2709145871557209E-2</v>
      </c>
      <c r="L15" s="117">
        <v>0.16629197412658353</v>
      </c>
      <c r="M15" s="117">
        <v>9.3983172137089413E-2</v>
      </c>
      <c r="N15" s="122"/>
    </row>
    <row r="16" spans="1:14" ht="15" customHeight="1" x14ac:dyDescent="0.2">
      <c r="A16" s="118" t="s">
        <v>316</v>
      </c>
      <c r="C16" s="117">
        <v>7.5403151164106619E-2</v>
      </c>
      <c r="D16" s="117">
        <v>5.578028441314959E-2</v>
      </c>
      <c r="E16" s="117">
        <v>8.0566908033977716E-2</v>
      </c>
      <c r="F16" s="117">
        <v>0.12615648160488019</v>
      </c>
      <c r="G16" s="117">
        <v>0.13507019426994837</v>
      </c>
      <c r="H16" s="117">
        <v>0.17897963183379237</v>
      </c>
      <c r="I16" s="117">
        <v>0.16673423532159964</v>
      </c>
      <c r="J16" s="117">
        <v>0.16513320675501822</v>
      </c>
      <c r="K16" s="117">
        <v>0.16107208023800432</v>
      </c>
      <c r="L16" s="117">
        <v>0.11612015962468476</v>
      </c>
      <c r="M16" s="117">
        <v>0.10464903607980082</v>
      </c>
      <c r="N16" s="122"/>
    </row>
    <row r="17" spans="1:14" ht="15" customHeight="1" x14ac:dyDescent="0.2">
      <c r="A17" s="118" t="s">
        <v>329</v>
      </c>
      <c r="C17" s="117">
        <v>0.10183842783564176</v>
      </c>
      <c r="D17" s="117">
        <v>0.10127750468063418</v>
      </c>
      <c r="E17" s="117">
        <v>0.18824679168030303</v>
      </c>
      <c r="F17" s="117">
        <v>0.20996866273772422</v>
      </c>
      <c r="G17" s="117">
        <v>8.8808199622942258E-2</v>
      </c>
      <c r="H17" s="117">
        <v>0.21987296157843433</v>
      </c>
      <c r="I17" s="117">
        <v>0.17044326790774722</v>
      </c>
      <c r="J17" s="117">
        <v>0.13944278268838425</v>
      </c>
      <c r="K17" s="117">
        <v>0.12562667369226654</v>
      </c>
      <c r="L17" s="117">
        <v>0.16267489441095509</v>
      </c>
      <c r="M17" s="117">
        <v>0.12158006521305603</v>
      </c>
      <c r="N17" s="122"/>
    </row>
    <row r="18" spans="1:14" ht="15" customHeight="1" x14ac:dyDescent="0.2">
      <c r="A18" s="118" t="s">
        <v>341</v>
      </c>
      <c r="C18" s="117">
        <v>0.22733324201514976</v>
      </c>
      <c r="D18" s="117">
        <v>0.18544678154522226</v>
      </c>
      <c r="E18" s="117">
        <v>0.17539431403248212</v>
      </c>
      <c r="F18" s="117">
        <v>0.23861351562234437</v>
      </c>
      <c r="G18" s="117">
        <v>0.21771243758745015</v>
      </c>
      <c r="H18" s="117">
        <v>0.22082329215958993</v>
      </c>
      <c r="I18" s="117">
        <v>0.2573280756399064</v>
      </c>
      <c r="J18" s="117">
        <v>0.2653012071159398</v>
      </c>
      <c r="K18" s="117">
        <v>0.15297786779728653</v>
      </c>
      <c r="L18" s="117">
        <v>2.6899207571671281E-2</v>
      </c>
      <c r="M18" s="117">
        <v>-8.784648274434223E-2</v>
      </c>
      <c r="N18" s="122"/>
    </row>
    <row r="19" spans="1:14" ht="15" customHeight="1" x14ac:dyDescent="0.2">
      <c r="A19" s="118" t="s">
        <v>354</v>
      </c>
      <c r="C19" s="117">
        <v>0.13138308790872077</v>
      </c>
      <c r="D19" s="117">
        <v>8.9626819776071356E-2</v>
      </c>
      <c r="E19" s="117">
        <v>0.15468068379325445</v>
      </c>
      <c r="F19" s="117">
        <v>0.15859606126715856</v>
      </c>
      <c r="G19" s="117">
        <v>0.12351926012476566</v>
      </c>
      <c r="H19" s="117">
        <v>0.1783285601608007</v>
      </c>
      <c r="I19" s="117">
        <v>0.27216756748171828</v>
      </c>
      <c r="J19" s="117">
        <v>0.15691904612429824</v>
      </c>
      <c r="K19" s="117">
        <v>0.22722966815280649</v>
      </c>
      <c r="L19" s="117">
        <v>0.15344088461408903</v>
      </c>
      <c r="M19" s="117">
        <v>0.15725341096990497</v>
      </c>
      <c r="N19" s="122"/>
    </row>
    <row r="20" spans="1:14" ht="15" customHeight="1" x14ac:dyDescent="0.2">
      <c r="A20" s="118" t="s">
        <v>367</v>
      </c>
      <c r="C20" s="117">
        <v>0.21532824237033926</v>
      </c>
      <c r="D20" s="117">
        <v>0.17113848668502965</v>
      </c>
      <c r="E20" s="117">
        <v>0.1502232474338864</v>
      </c>
      <c r="F20" s="117">
        <v>0.13907358727504027</v>
      </c>
      <c r="G20" s="117">
        <v>0.16007288438920358</v>
      </c>
      <c r="H20" s="117">
        <v>0.16433504711286534</v>
      </c>
      <c r="I20" s="117">
        <v>0.29292813873033396</v>
      </c>
      <c r="J20" s="117">
        <v>0.14123230963920635</v>
      </c>
      <c r="K20" s="117">
        <v>0.14131002815075996</v>
      </c>
      <c r="L20" s="117">
        <v>0.19017583076776914</v>
      </c>
      <c r="M20" s="117">
        <v>0.11451275139038838</v>
      </c>
      <c r="N20" s="122"/>
    </row>
    <row r="21" spans="1:14" ht="15" customHeight="1" x14ac:dyDescent="0.2">
      <c r="A21" s="118" t="s">
        <v>380</v>
      </c>
      <c r="C21" s="117">
        <v>0.13556754796024176</v>
      </c>
      <c r="D21" s="117">
        <v>0.32325855106994561</v>
      </c>
      <c r="E21" s="117">
        <v>0.21977103434796202</v>
      </c>
      <c r="F21" s="117">
        <v>0.28337958561791876</v>
      </c>
      <c r="G21" s="117">
        <v>0.34053640798261109</v>
      </c>
      <c r="H21" s="117">
        <v>0.32866189523365369</v>
      </c>
      <c r="I21" s="117">
        <v>0.35023210846017305</v>
      </c>
      <c r="J21" s="117">
        <v>0.35885612540003697</v>
      </c>
      <c r="K21" s="117">
        <v>0.33360915897936411</v>
      </c>
      <c r="L21" s="117">
        <v>0.30001057830621269</v>
      </c>
      <c r="M21" s="117">
        <v>0.31283564636983557</v>
      </c>
      <c r="N21" s="122"/>
    </row>
    <row r="22" spans="1:14" ht="15" customHeight="1" x14ac:dyDescent="0.2">
      <c r="A22" s="118" t="s">
        <v>393</v>
      </c>
      <c r="C22" s="117">
        <v>8.7381805628384171E-2</v>
      </c>
      <c r="D22" s="117">
        <v>0.19206209450448167</v>
      </c>
      <c r="E22" s="117">
        <v>0.17150545786284113</v>
      </c>
      <c r="F22" s="117">
        <v>0.20307304959853051</v>
      </c>
      <c r="G22" s="117">
        <v>0.22182882122319877</v>
      </c>
      <c r="H22" s="117">
        <v>0.23102409372509067</v>
      </c>
      <c r="I22" s="117">
        <v>0.25921905392274652</v>
      </c>
      <c r="J22" s="117">
        <v>0.2257182546479668</v>
      </c>
      <c r="K22" s="117">
        <v>0.22956720244455267</v>
      </c>
      <c r="L22" s="117">
        <v>0.19592642644651065</v>
      </c>
      <c r="M22" s="117">
        <v>0.22236101843372238</v>
      </c>
      <c r="N22" s="122"/>
    </row>
    <row r="23" spans="1:14" ht="15" customHeight="1" x14ac:dyDescent="0.2">
      <c r="A23" s="118" t="s">
        <v>404</v>
      </c>
      <c r="C23" s="117">
        <v>0.11157148064339491</v>
      </c>
      <c r="D23" s="117">
        <v>3.7977104112935908E-2</v>
      </c>
      <c r="E23" s="117">
        <v>1.7194677214037796E-2</v>
      </c>
      <c r="F23" s="117">
        <v>7.7737384392951206E-2</v>
      </c>
      <c r="G23" s="117">
        <v>7.5342511056819619E-2</v>
      </c>
      <c r="H23" s="117">
        <v>0.16496568822661187</v>
      </c>
      <c r="I23" s="117">
        <v>0.16434571578936166</v>
      </c>
      <c r="J23" s="117">
        <v>0.11230117972809432</v>
      </c>
      <c r="K23" s="117">
        <v>8.1704053445942851E-2</v>
      </c>
      <c r="L23" s="117">
        <v>1.7846213895968847E-2</v>
      </c>
      <c r="M23" s="117">
        <v>2.4955548370810248E-2</v>
      </c>
      <c r="N23" s="122"/>
    </row>
    <row r="24" spans="1:14" ht="15" customHeight="1" x14ac:dyDescent="0.2">
      <c r="A24" s="118" t="s">
        <v>417</v>
      </c>
      <c r="C24" s="117">
        <v>3.8632635852550161E-2</v>
      </c>
      <c r="D24" s="117">
        <v>0.1376733659798926</v>
      </c>
      <c r="E24" s="117">
        <v>6.367122562995868E-2</v>
      </c>
      <c r="F24" s="117">
        <v>5.2728805297889147E-2</v>
      </c>
      <c r="G24" s="117">
        <v>0.13713406416822294</v>
      </c>
      <c r="H24" s="117">
        <v>0.24069616313670608</v>
      </c>
      <c r="I24" s="117">
        <v>0.23084254721534483</v>
      </c>
      <c r="J24" s="117">
        <v>0.15307464729191611</v>
      </c>
      <c r="K24" s="117">
        <v>0.2361169946573014</v>
      </c>
      <c r="L24" s="117">
        <v>0.19686259511306248</v>
      </c>
      <c r="M24" s="117">
        <v>0.18402059502320506</v>
      </c>
      <c r="N24" s="122"/>
    </row>
    <row r="25" spans="1:14" ht="15" customHeight="1" x14ac:dyDescent="0.2">
      <c r="A25" s="118" t="s">
        <v>458</v>
      </c>
      <c r="C25" s="117">
        <v>0.19674953356380318</v>
      </c>
      <c r="D25" s="117">
        <v>0.19303286338946737</v>
      </c>
      <c r="E25" s="117">
        <v>0.22754066180428972</v>
      </c>
      <c r="F25" s="117">
        <v>0.21116618371553333</v>
      </c>
      <c r="G25" s="117">
        <v>0.19463067369613002</v>
      </c>
      <c r="H25" s="117">
        <v>0.29309236784179493</v>
      </c>
      <c r="I25" s="117">
        <v>0.30960729527432662</v>
      </c>
      <c r="J25" s="117">
        <v>0.19671017898568069</v>
      </c>
      <c r="K25" s="117">
        <v>0.23416563130645382</v>
      </c>
      <c r="L25" s="117">
        <v>0.32166549145020917</v>
      </c>
      <c r="M25" s="117">
        <v>0.2853004471994578</v>
      </c>
      <c r="N25" s="122"/>
    </row>
    <row r="26" spans="1:14" ht="15" customHeight="1" x14ac:dyDescent="0.2">
      <c r="A26" s="118" t="s">
        <v>470</v>
      </c>
      <c r="C26" s="117">
        <v>0.31641098446450361</v>
      </c>
      <c r="D26" s="117">
        <v>0.33870702039070882</v>
      </c>
      <c r="E26" s="117">
        <v>0.30340755595167823</v>
      </c>
      <c r="F26" s="117">
        <v>0.34479938002397276</v>
      </c>
      <c r="G26" s="117">
        <v>0.25675140920573347</v>
      </c>
      <c r="H26" s="117">
        <v>0.3034865014603183</v>
      </c>
      <c r="I26" s="117">
        <v>0.35900252820195849</v>
      </c>
      <c r="J26" s="117">
        <v>0.2968551566041015</v>
      </c>
      <c r="K26" s="117">
        <v>0.34616839960145362</v>
      </c>
      <c r="L26" s="117">
        <v>0.41855248678436452</v>
      </c>
      <c r="M26" s="117">
        <v>0.35540515430246106</v>
      </c>
      <c r="N26" s="122"/>
    </row>
    <row r="27" spans="1:14" ht="15" customHeight="1" x14ac:dyDescent="0.2">
      <c r="A27" s="118" t="s">
        <v>483</v>
      </c>
      <c r="C27" s="117">
        <v>0.24617760657860357</v>
      </c>
      <c r="D27" s="117">
        <v>0.18696067205529265</v>
      </c>
      <c r="E27" s="117">
        <v>0.22009039629392665</v>
      </c>
      <c r="F27" s="117">
        <v>0.1970339434411553</v>
      </c>
      <c r="G27" s="117">
        <v>0.19787391557593434</v>
      </c>
      <c r="H27" s="117">
        <v>0.31104707428813794</v>
      </c>
      <c r="I27" s="117">
        <v>0.2685500324072152</v>
      </c>
      <c r="J27" s="117">
        <v>0.29338868476083224</v>
      </c>
      <c r="K27" s="117">
        <v>0.2754232159227008</v>
      </c>
      <c r="L27" s="117">
        <v>0.28824655233495883</v>
      </c>
      <c r="M27" s="117">
        <v>0.27742522006071663</v>
      </c>
      <c r="N27" s="122"/>
    </row>
    <row r="28" spans="1:14" ht="15" customHeight="1" x14ac:dyDescent="0.2">
      <c r="A28" s="118" t="s">
        <v>495</v>
      </c>
      <c r="C28" s="117">
        <v>6.7716115004409341E-2</v>
      </c>
      <c r="D28" s="117">
        <v>0.18149664397773865</v>
      </c>
      <c r="E28" s="117">
        <v>0.28566434036330507</v>
      </c>
      <c r="F28" s="117">
        <v>0.28364926035525556</v>
      </c>
      <c r="G28" s="117">
        <v>0.32829830775890112</v>
      </c>
      <c r="H28" s="117">
        <v>0.36737419499106422</v>
      </c>
      <c r="I28" s="117">
        <v>0.30739782419134787</v>
      </c>
      <c r="J28" s="117">
        <v>0.28800727582976376</v>
      </c>
      <c r="K28" s="117">
        <v>0.32900710450824999</v>
      </c>
      <c r="L28" s="117">
        <v>0.30498633608831693</v>
      </c>
      <c r="M28" s="117">
        <v>0.32491700972271581</v>
      </c>
      <c r="N28" s="122"/>
    </row>
    <row r="29" spans="1:14" ht="15" customHeight="1" x14ac:dyDescent="0.2">
      <c r="A29" s="118" t="s">
        <v>507</v>
      </c>
      <c r="C29" s="117">
        <v>0.21690811614966191</v>
      </c>
      <c r="D29" s="117">
        <v>0.21578383320839228</v>
      </c>
      <c r="E29" s="117">
        <v>0.12736269774390047</v>
      </c>
      <c r="F29" s="117">
        <v>0.19180590298218195</v>
      </c>
      <c r="G29" s="117">
        <v>0.15456238242477516</v>
      </c>
      <c r="H29" s="117">
        <v>0.17187918767436941</v>
      </c>
      <c r="I29" s="117">
        <v>0.13805286066220832</v>
      </c>
      <c r="J29" s="117">
        <v>6.2997152646516286E-2</v>
      </c>
      <c r="K29" s="117">
        <v>0.14679142886601784</v>
      </c>
      <c r="L29" s="117">
        <v>8.5718005451862408E-2</v>
      </c>
      <c r="M29" s="117">
        <v>7.5605013400285748E-2</v>
      </c>
      <c r="N29" s="122"/>
    </row>
    <row r="30" spans="1:14" ht="15" customHeight="1" x14ac:dyDescent="0.2">
      <c r="A30" s="118" t="s">
        <v>518</v>
      </c>
      <c r="C30" s="117">
        <v>0.17608980960702883</v>
      </c>
      <c r="D30" s="117">
        <v>0.2163111989828034</v>
      </c>
      <c r="E30" s="117">
        <v>0.15586921710802662</v>
      </c>
      <c r="F30" s="117">
        <v>0.1699690727219928</v>
      </c>
      <c r="G30" s="117">
        <v>0.19832370697522289</v>
      </c>
      <c r="H30" s="117">
        <v>0.20275656820976312</v>
      </c>
      <c r="I30" s="117">
        <v>0.17441995442770544</v>
      </c>
      <c r="J30" s="117">
        <v>0.14265868797887934</v>
      </c>
      <c r="K30" s="117">
        <v>0.12627154513444855</v>
      </c>
      <c r="L30" s="117">
        <v>0.14543683025781365</v>
      </c>
      <c r="M30" s="117">
        <v>0.17089008520489976</v>
      </c>
      <c r="N30" s="122"/>
    </row>
    <row r="31" spans="1:14" ht="15" customHeight="1" x14ac:dyDescent="0.2">
      <c r="A31" s="118" t="s">
        <v>430</v>
      </c>
      <c r="C31" s="117">
        <v>0.24028375374888286</v>
      </c>
      <c r="D31" s="117">
        <v>0.21936866817929643</v>
      </c>
      <c r="E31" s="117">
        <v>0.17713758696462245</v>
      </c>
      <c r="F31" s="117">
        <v>0.15671503473824044</v>
      </c>
      <c r="G31" s="117">
        <v>0.18961723821095205</v>
      </c>
      <c r="H31" s="117">
        <v>0.13066183528491135</v>
      </c>
      <c r="I31" s="117">
        <v>0.19397593981438221</v>
      </c>
      <c r="J31" s="117">
        <v>3.0474560718277421E-2</v>
      </c>
      <c r="K31" s="117">
        <v>0.15287096323689126</v>
      </c>
      <c r="L31" s="117">
        <v>0.14119977591858673</v>
      </c>
      <c r="M31" s="117">
        <v>0.19218586676562108</v>
      </c>
      <c r="N31" s="122"/>
    </row>
    <row r="32" spans="1:14" ht="15" customHeight="1" thickBot="1" x14ac:dyDescent="0.25">
      <c r="A32" s="119" t="s">
        <v>443</v>
      </c>
      <c r="B32" s="124"/>
      <c r="C32" s="121">
        <v>0.12203760055034432</v>
      </c>
      <c r="D32" s="121">
        <v>0.22365265614119131</v>
      </c>
      <c r="E32" s="121">
        <v>0.16017325088462953</v>
      </c>
      <c r="F32" s="121">
        <v>0.18859621000992538</v>
      </c>
      <c r="G32" s="121">
        <v>0.21219056066799485</v>
      </c>
      <c r="H32" s="121">
        <v>0.18007005333109549</v>
      </c>
      <c r="I32" s="121">
        <v>0.12005274286713787</v>
      </c>
      <c r="J32" s="121">
        <v>0.16536684440992097</v>
      </c>
      <c r="K32" s="121">
        <v>0.15141927770343674</v>
      </c>
      <c r="L32" s="121">
        <v>0.21078131879325604</v>
      </c>
      <c r="M32" s="121">
        <v>0.25895313890447796</v>
      </c>
      <c r="N32" s="125"/>
    </row>
    <row r="33" spans="1:1" ht="15" customHeight="1" x14ac:dyDescent="0.2">
      <c r="A33" s="47" t="s">
        <v>533</v>
      </c>
    </row>
  </sheetData>
  <mergeCells count="1">
    <mergeCell ref="L1:M1"/>
  </mergeCells>
  <hyperlinks>
    <hyperlink ref="L1:M1" location="Home_page" display="Back to_x000a_home page" xr:uid="{A498EDB5-39BF-4D14-9BD3-271B347B3B8D}"/>
  </hyperlinks>
  <pageMargins left="0.70866141732283472" right="0.70866141732283472" top="0.74803149606299213" bottom="0.74803149606299213" header="0.31496062992125984" footer="0.31496062992125984"/>
  <pageSetup paperSize="9" scale="96" orientation="landscape"/>
  <extLst>
    <ext xmlns:x14="http://schemas.microsoft.com/office/spreadsheetml/2009/9/main" uri="{05C60535-1F16-4fd2-B633-F4F36F0B64E0}">
      <x14:sparklineGroups xmlns:xm="http://schemas.microsoft.com/office/excel/2006/main">
        <x14:sparklineGroup manualMax="0" manualMin="0" displayEmptyCellsAs="gap" high="1" low="1" xr2:uid="{715CDF49-6C6C-4898-8E3F-1D93CD8E461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'Operating profit margin'!C3:M3</xm:f>
              <xm:sqref>B3</xm:sqref>
            </x14:sparkline>
            <x14:sparkline>
              <xm:f>'Operating profit margin'!C4:M4</xm:f>
              <xm:sqref>B4</xm:sqref>
            </x14:sparkline>
            <x14:sparkline>
              <xm:f>'Operating profit margin'!C5:M5</xm:f>
              <xm:sqref>B5</xm:sqref>
            </x14:sparkline>
            <x14:sparkline>
              <xm:f>'Operating profit margin'!C6:M6</xm:f>
              <xm:sqref>B6</xm:sqref>
            </x14:sparkline>
            <x14:sparkline>
              <xm:f>'Operating profit margin'!C7:M7</xm:f>
              <xm:sqref>B7</xm:sqref>
            </x14:sparkline>
            <x14:sparkline>
              <xm:f>'Operating profit margin'!C8:M8</xm:f>
              <xm:sqref>B8</xm:sqref>
            </x14:sparkline>
            <x14:sparkline>
              <xm:f>'Operating profit margin'!C9:M9</xm:f>
              <xm:sqref>B9</xm:sqref>
            </x14:sparkline>
            <x14:sparkline>
              <xm:f>'Operating profit margin'!C10:M10</xm:f>
              <xm:sqref>B10</xm:sqref>
            </x14:sparkline>
            <x14:sparkline>
              <xm:f>'Operating profit margin'!C11:M11</xm:f>
              <xm:sqref>B11</xm:sqref>
            </x14:sparkline>
            <x14:sparkline>
              <xm:f>'Operating profit margin'!C12:M12</xm:f>
              <xm:sqref>B12</xm:sqref>
            </x14:sparkline>
            <x14:sparkline>
              <xm:f>'Operating profit margin'!C13:M13</xm:f>
              <xm:sqref>B13</xm:sqref>
            </x14:sparkline>
            <x14:sparkline>
              <xm:f>'Operating profit margin'!C14:M14</xm:f>
              <xm:sqref>B14</xm:sqref>
            </x14:sparkline>
            <x14:sparkline>
              <xm:f>'Operating profit margin'!C15:M15</xm:f>
              <xm:sqref>B15</xm:sqref>
            </x14:sparkline>
            <x14:sparkline>
              <xm:f>'Operating profit margin'!C16:M16</xm:f>
              <xm:sqref>B16</xm:sqref>
            </x14:sparkline>
            <x14:sparkline>
              <xm:f>'Operating profit margin'!C17:M17</xm:f>
              <xm:sqref>B17</xm:sqref>
            </x14:sparkline>
            <x14:sparkline>
              <xm:f>'Operating profit margin'!C18:M18</xm:f>
              <xm:sqref>B18</xm:sqref>
            </x14:sparkline>
            <x14:sparkline>
              <xm:f>'Operating profit margin'!C19:M19</xm:f>
              <xm:sqref>B19</xm:sqref>
            </x14:sparkline>
            <x14:sparkline>
              <xm:f>'Operating profit margin'!C20:M20</xm:f>
              <xm:sqref>B20</xm:sqref>
            </x14:sparkline>
            <x14:sparkline>
              <xm:f>'Operating profit margin'!C21:M21</xm:f>
              <xm:sqref>B21</xm:sqref>
            </x14:sparkline>
            <x14:sparkline>
              <xm:f>'Operating profit margin'!C22:M22</xm:f>
              <xm:sqref>B22</xm:sqref>
            </x14:sparkline>
            <x14:sparkline>
              <xm:f>'Operating profit margin'!C23:M23</xm:f>
              <xm:sqref>B23</xm:sqref>
            </x14:sparkline>
            <x14:sparkline>
              <xm:f>'Operating profit margin'!C24:M24</xm:f>
              <xm:sqref>B24</xm:sqref>
            </x14:sparkline>
            <x14:sparkline>
              <xm:f>'Operating profit margin'!C25:M25</xm:f>
              <xm:sqref>B25</xm:sqref>
            </x14:sparkline>
            <x14:sparkline>
              <xm:f>'Operating profit margin'!C26:M26</xm:f>
              <xm:sqref>B26</xm:sqref>
            </x14:sparkline>
            <x14:sparkline>
              <xm:f>'Operating profit margin'!C27:M27</xm:f>
              <xm:sqref>B27</xm:sqref>
            </x14:sparkline>
            <x14:sparkline>
              <xm:f>'Operating profit margin'!C28:M28</xm:f>
              <xm:sqref>B28</xm:sqref>
            </x14:sparkline>
            <x14:sparkline>
              <xm:f>'Operating profit margin'!C29:M29</xm:f>
              <xm:sqref>B29</xm:sqref>
            </x14:sparkline>
            <x14:sparkline>
              <xm:f>'Operating profit margin'!C30:M30</xm:f>
              <xm:sqref>B30</xm:sqref>
            </x14:sparkline>
            <x14:sparkline>
              <xm:f>'Operating profit margin'!C31:M31</xm:f>
              <xm:sqref>B31</xm:sqref>
            </x14:sparkline>
            <x14:sparkline>
              <xm:f>'Operating profit margin'!C32:M32</xm:f>
              <xm:sqref>B32</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F954F-2CE3-44B6-B293-68FA345DB37D}">
  <sheetPr codeName="Feuil39">
    <pageSetUpPr fitToPage="1"/>
  </sheetPr>
  <dimension ref="A1:M33"/>
  <sheetViews>
    <sheetView workbookViewId="0"/>
  </sheetViews>
  <sheetFormatPr defaultColWidth="8.625" defaultRowHeight="15" customHeight="1" x14ac:dyDescent="0.2"/>
  <cols>
    <col min="1" max="1" width="32.125" style="112" customWidth="1"/>
    <col min="2" max="2" width="6.625" style="112" customWidth="1"/>
    <col min="3" max="13" width="6.625" style="111" customWidth="1"/>
    <col min="14" max="24" width="6.625" style="112" customWidth="1"/>
    <col min="25" max="16384" width="8.625" style="112"/>
  </cols>
  <sheetData>
    <row r="1" spans="1:13" ht="33" customHeight="1" thickBot="1" x14ac:dyDescent="0.25">
      <c r="A1" s="20" t="s">
        <v>529</v>
      </c>
      <c r="B1" s="20"/>
      <c r="C1" s="20"/>
      <c r="D1" s="20"/>
      <c r="E1" s="20"/>
      <c r="F1" s="20"/>
      <c r="J1" s="112"/>
      <c r="K1" s="212" t="s">
        <v>3</v>
      </c>
      <c r="L1" s="212"/>
      <c r="M1" s="212"/>
    </row>
    <row r="2" spans="1:13" ht="15" customHeight="1" thickBot="1" x14ac:dyDescent="0.25">
      <c r="A2" s="113" t="s">
        <v>530</v>
      </c>
      <c r="B2" s="114" t="s">
        <v>39</v>
      </c>
      <c r="C2" s="115">
        <v>2011</v>
      </c>
      <c r="D2" s="115">
        <v>2012</v>
      </c>
      <c r="E2" s="115">
        <v>2013</v>
      </c>
      <c r="F2" s="115">
        <v>2014</v>
      </c>
      <c r="G2" s="115">
        <v>2015</v>
      </c>
      <c r="H2" s="115">
        <v>2016</v>
      </c>
      <c r="I2" s="115">
        <v>2017</v>
      </c>
      <c r="J2" s="115">
        <v>2018</v>
      </c>
      <c r="K2" s="115">
        <v>2019</v>
      </c>
      <c r="L2" s="115">
        <v>2020</v>
      </c>
      <c r="M2" s="115">
        <v>2021</v>
      </c>
    </row>
    <row r="3" spans="1:13" ht="15" customHeight="1" x14ac:dyDescent="0.2">
      <c r="A3" s="116" t="s">
        <v>19</v>
      </c>
      <c r="C3" s="117">
        <v>-1.7567962398231302E-2</v>
      </c>
      <c r="D3" s="117">
        <v>8.8957626648430405E-2</v>
      </c>
      <c r="E3" s="117">
        <v>9.3373172041123109E-2</v>
      </c>
      <c r="F3" s="117">
        <v>0.11333000945484918</v>
      </c>
      <c r="G3" s="117">
        <v>0.12284994927411556</v>
      </c>
      <c r="H3" s="117">
        <v>0.20785988043148873</v>
      </c>
      <c r="I3" s="117">
        <v>0.13880760975699449</v>
      </c>
      <c r="J3" s="117">
        <v>0.13554097644173119</v>
      </c>
      <c r="K3" s="117">
        <v>0.16870099821118759</v>
      </c>
      <c r="L3" s="117">
        <v>-0.28315445726978922</v>
      </c>
      <c r="M3" s="117">
        <v>-0.15014753618407636</v>
      </c>
    </row>
    <row r="4" spans="1:13" ht="15" customHeight="1" x14ac:dyDescent="0.2">
      <c r="A4" s="118" t="s">
        <v>129</v>
      </c>
      <c r="C4" s="117">
        <v>0.13104269351479547</v>
      </c>
      <c r="D4" s="117">
        <v>0.22978086863958788</v>
      </c>
      <c r="E4" s="117">
        <v>6.9732430406166127E-2</v>
      </c>
      <c r="F4" s="117">
        <v>0.11263332738718984</v>
      </c>
      <c r="G4" s="117">
        <v>0.11796363503241111</v>
      </c>
      <c r="H4" s="117">
        <v>0.14849951092592167</v>
      </c>
      <c r="I4" s="117">
        <v>8.0930911539698849E-2</v>
      </c>
      <c r="J4" s="117">
        <v>0.11605700300744057</v>
      </c>
      <c r="K4" s="117">
        <v>0.21814496851624082</v>
      </c>
      <c r="L4" s="117">
        <v>3.7440945152402497E-2</v>
      </c>
      <c r="M4" s="117">
        <v>7.1543666541109691E-2</v>
      </c>
    </row>
    <row r="5" spans="1:13" ht="15" customHeight="1" x14ac:dyDescent="0.2">
      <c r="A5" s="118" t="s">
        <v>148</v>
      </c>
      <c r="C5" s="117">
        <v>0.21760911218114554</v>
      </c>
      <c r="D5" s="117">
        <v>0.18942821450378136</v>
      </c>
      <c r="E5" s="117">
        <v>0.17704850739661585</v>
      </c>
      <c r="F5" s="117">
        <v>0.11025175879064036</v>
      </c>
      <c r="G5" s="117">
        <v>0.17369296374984194</v>
      </c>
      <c r="H5" s="117">
        <v>0.20535232436406356</v>
      </c>
      <c r="I5" s="117">
        <v>0.22479428999073467</v>
      </c>
      <c r="J5" s="117">
        <v>0.11973968860865913</v>
      </c>
      <c r="K5" s="117">
        <v>0.11708825025304415</v>
      </c>
      <c r="L5" s="117">
        <v>8.9591588257092541E-2</v>
      </c>
      <c r="M5" s="117">
        <v>0.16659292761807823</v>
      </c>
    </row>
    <row r="6" spans="1:13" ht="15" customHeight="1" x14ac:dyDescent="0.2">
      <c r="A6" s="118" t="s">
        <v>163</v>
      </c>
      <c r="C6" s="117">
        <v>5.2093958499788914E-2</v>
      </c>
      <c r="D6" s="117">
        <v>-7.9576564037552762E-3</v>
      </c>
      <c r="E6" s="117">
        <v>-9.5772558559811607E-3</v>
      </c>
      <c r="F6" s="117">
        <v>2.1263719484829472E-2</v>
      </c>
      <c r="G6" s="117">
        <v>6.7477398323561449E-2</v>
      </c>
      <c r="H6" s="117">
        <v>0.33128321464698895</v>
      </c>
      <c r="I6" s="117">
        <v>6.8412079495098393E-2</v>
      </c>
      <c r="J6" s="117">
        <v>3.4946901317472551E-2</v>
      </c>
      <c r="K6" s="117">
        <v>5.2287428302529642E-3</v>
      </c>
      <c r="L6" s="117">
        <v>2.49444947468721E-2</v>
      </c>
      <c r="M6" s="117">
        <v>8.647743732999303E-3</v>
      </c>
    </row>
    <row r="7" spans="1:13" ht="15" customHeight="1" x14ac:dyDescent="0.2">
      <c r="A7" s="118" t="s">
        <v>180</v>
      </c>
      <c r="C7" s="117">
        <v>1.3005978462584002E-2</v>
      </c>
      <c r="D7" s="117">
        <v>0.13290947144304735</v>
      </c>
      <c r="E7" s="117">
        <v>0.11895080933583366</v>
      </c>
      <c r="F7" s="117">
        <v>0.19153000458204431</v>
      </c>
      <c r="G7" s="117">
        <v>0.16893050194846132</v>
      </c>
      <c r="H7" s="117">
        <v>0.26688712426000838</v>
      </c>
      <c r="I7" s="117">
        <v>0.23687198467335868</v>
      </c>
      <c r="J7" s="117">
        <v>0.20466809158619578</v>
      </c>
      <c r="K7" s="117">
        <v>0.19643165135542331</v>
      </c>
      <c r="L7" s="117">
        <v>8.6512483683499217E-2</v>
      </c>
      <c r="M7" s="117">
        <v>0.11294787423350502</v>
      </c>
    </row>
    <row r="8" spans="1:13" ht="15" customHeight="1" x14ac:dyDescent="0.2">
      <c r="A8" s="118" t="s">
        <v>197</v>
      </c>
      <c r="C8" s="117">
        <v>3.5001962882059284E-2</v>
      </c>
      <c r="D8" s="117">
        <v>0.20320225509227513</v>
      </c>
      <c r="E8" s="117">
        <v>4.073402189158485E-2</v>
      </c>
      <c r="F8" s="117">
        <v>0.1941425812533927</v>
      </c>
      <c r="G8" s="117">
        <v>0.25594150534048049</v>
      </c>
      <c r="H8" s="117">
        <v>0.13559487748599974</v>
      </c>
      <c r="I8" s="117">
        <v>0.11549864701162627</v>
      </c>
      <c r="J8" s="117">
        <v>6.7623676496895255E-2</v>
      </c>
      <c r="K8" s="117">
        <v>9.4861306836425005E-2</v>
      </c>
      <c r="L8" s="117">
        <v>4.0017588417876129E-2</v>
      </c>
      <c r="M8" s="117">
        <v>8.6480749106261176E-2</v>
      </c>
    </row>
    <row r="9" spans="1:13" ht="15" customHeight="1" x14ac:dyDescent="0.2">
      <c r="A9" s="118" t="s">
        <v>214</v>
      </c>
      <c r="C9" s="117">
        <v>0.22666540859497394</v>
      </c>
      <c r="D9" s="117">
        <v>-4.0393077469766454E-2</v>
      </c>
      <c r="E9" s="117">
        <v>0.11008976266420958</v>
      </c>
      <c r="F9" s="117">
        <v>0.10449388723861405</v>
      </c>
      <c r="G9" s="117">
        <v>0.24544335240175696</v>
      </c>
      <c r="H9" s="117">
        <v>0.2515892163171693</v>
      </c>
      <c r="I9" s="117">
        <v>7.9040524114646862E-2</v>
      </c>
      <c r="J9" s="117">
        <v>7.2216689458681135E-2</v>
      </c>
      <c r="K9" s="117">
        <v>8.9608436483173265E-2</v>
      </c>
      <c r="L9" s="117">
        <v>-0.18926481658540384</v>
      </c>
      <c r="M9" s="117">
        <v>0.19327715266403617</v>
      </c>
    </row>
    <row r="10" spans="1:13" ht="15" customHeight="1" x14ac:dyDescent="0.2">
      <c r="A10" s="118" t="s">
        <v>232</v>
      </c>
      <c r="C10" s="117">
        <v>-0.3046667253740763</v>
      </c>
      <c r="D10" s="117">
        <v>-0.52750951215660269</v>
      </c>
      <c r="E10" s="117">
        <v>-0.72107948551700563</v>
      </c>
      <c r="F10" s="117">
        <v>-1.4058321873869066</v>
      </c>
      <c r="G10" s="117">
        <v>-0.69674178310015566</v>
      </c>
      <c r="H10" s="117">
        <v>-0.36251524113519251</v>
      </c>
      <c r="I10" s="117">
        <v>-0.82121039238611637</v>
      </c>
      <c r="J10" s="117">
        <v>-0.78307071520222493</v>
      </c>
      <c r="K10" s="117">
        <v>-0.51121597609796232</v>
      </c>
      <c r="L10" s="117">
        <v>-0.42464485508616151</v>
      </c>
      <c r="M10" s="117">
        <v>-1.358059359804491</v>
      </c>
    </row>
    <row r="11" spans="1:13" ht="15" customHeight="1" x14ac:dyDescent="0.2">
      <c r="A11" s="118" t="s">
        <v>251</v>
      </c>
      <c r="C11" s="117">
        <v>9.6830621228150504E-2</v>
      </c>
      <c r="D11" s="117">
        <v>-8.2836207848332857E-2</v>
      </c>
      <c r="E11" s="117">
        <v>-7.0845060589215386E-2</v>
      </c>
      <c r="F11" s="117">
        <v>7.2459302569953699E-2</v>
      </c>
      <c r="G11" s="117">
        <v>-0.29147917910576548</v>
      </c>
      <c r="H11" s="117">
        <v>6.5447387368056845E-2</v>
      </c>
      <c r="I11" s="117">
        <v>0.15936017294313223</v>
      </c>
      <c r="J11" s="117">
        <v>-5.1490819309929672E-2</v>
      </c>
      <c r="K11" s="117">
        <v>-0.18083743154229054</v>
      </c>
      <c r="L11" s="117">
        <v>-0.10222658933531267</v>
      </c>
      <c r="M11" s="117">
        <v>-2.4268632587852606E-3</v>
      </c>
    </row>
    <row r="12" spans="1:13" ht="15" customHeight="1" x14ac:dyDescent="0.2">
      <c r="A12" s="118" t="s">
        <v>266</v>
      </c>
      <c r="C12" s="117">
        <v>-4.3863227197736457E-2</v>
      </c>
      <c r="D12" s="117">
        <v>-9.2577088730974616E-2</v>
      </c>
      <c r="E12" s="117">
        <v>-0.12480832750239332</v>
      </c>
      <c r="F12" s="117">
        <v>-0.14231238152321107</v>
      </c>
      <c r="G12" s="117">
        <v>-6.110952382440317E-2</v>
      </c>
      <c r="H12" s="117">
        <v>-3.6970254908854738E-3</v>
      </c>
      <c r="I12" s="117">
        <v>4.0584619680502393E-2</v>
      </c>
      <c r="J12" s="117">
        <v>-0.22132840869369769</v>
      </c>
      <c r="K12" s="117">
        <v>-8.6458841872650696E-2</v>
      </c>
      <c r="L12" s="117">
        <v>-0.44777049984715378</v>
      </c>
      <c r="M12" s="117">
        <v>-1.1491303565380759</v>
      </c>
    </row>
    <row r="13" spans="1:13" ht="15" customHeight="1" x14ac:dyDescent="0.2">
      <c r="A13" s="118" t="s">
        <v>280</v>
      </c>
      <c r="C13" s="117">
        <v>-0.38020997368552395</v>
      </c>
      <c r="D13" s="117">
        <v>-9.4560568034648795E-2</v>
      </c>
      <c r="E13" s="117">
        <v>-0.13378568016856338</v>
      </c>
      <c r="F13" s="117">
        <v>-0.71066744716282992</v>
      </c>
      <c r="G13" s="117">
        <v>-9.0802120932592836E-2</v>
      </c>
      <c r="H13" s="117">
        <v>-8.1378499097016749E-2</v>
      </c>
      <c r="I13" s="117">
        <v>-2.9527924658796733E-2</v>
      </c>
      <c r="J13" s="117">
        <v>-1.8247869042771234E-2</v>
      </c>
      <c r="K13" s="117">
        <v>-1.0154389438115077</v>
      </c>
      <c r="L13" s="117">
        <v>-0.50823821786087464</v>
      </c>
      <c r="M13" s="117">
        <v>-0.73415491859045401</v>
      </c>
    </row>
    <row r="14" spans="1:13" ht="15" customHeight="1" x14ac:dyDescent="0.2">
      <c r="A14" s="118" t="s">
        <v>291</v>
      </c>
      <c r="C14" s="117">
        <v>1.9192341676425948E-2</v>
      </c>
      <c r="D14" s="117">
        <v>2.06842481321125E-2</v>
      </c>
      <c r="E14" s="117">
        <v>-1.4850330776814399E-2</v>
      </c>
      <c r="F14" s="117">
        <v>1.3141716117026969E-2</v>
      </c>
      <c r="G14" s="117">
        <v>5.3413899100402222E-3</v>
      </c>
      <c r="H14" s="117">
        <v>6.2987494783091319E-2</v>
      </c>
      <c r="I14" s="117">
        <v>5.3640275756648204E-2</v>
      </c>
      <c r="J14" s="117">
        <v>-6.4069566800572061E-2</v>
      </c>
      <c r="K14" s="117">
        <v>4.5374988108459233E-2</v>
      </c>
      <c r="L14" s="117">
        <v>-0.10056924955223799</v>
      </c>
      <c r="M14" s="117">
        <v>-3.5999541473582537E-2</v>
      </c>
    </row>
    <row r="15" spans="1:13" ht="15" customHeight="1" x14ac:dyDescent="0.2">
      <c r="A15" s="118" t="s">
        <v>304</v>
      </c>
      <c r="C15" s="117">
        <v>0.11026628954219951</v>
      </c>
      <c r="D15" s="117">
        <v>7.2541736691823816E-2</v>
      </c>
      <c r="E15" s="117">
        <v>9.849415370801121E-3</v>
      </c>
      <c r="F15" s="117">
        <v>4.902801572547754E-2</v>
      </c>
      <c r="G15" s="117">
        <v>-4.578397585179951E-3</v>
      </c>
      <c r="H15" s="117">
        <v>0.11105428118442022</v>
      </c>
      <c r="I15" s="117">
        <v>5.3741909930776445E-3</v>
      </c>
      <c r="J15" s="117">
        <v>5.0524418199285166E-2</v>
      </c>
      <c r="K15" s="117">
        <v>1.9886969100769872E-2</v>
      </c>
      <c r="L15" s="117">
        <v>2.5411194840460779E-2</v>
      </c>
      <c r="M15" s="117">
        <v>8.6462349487752665E-2</v>
      </c>
    </row>
    <row r="16" spans="1:13" ht="15" customHeight="1" x14ac:dyDescent="0.2">
      <c r="A16" s="118" t="s">
        <v>316</v>
      </c>
      <c r="C16" s="117">
        <v>7.1064502201184645E-3</v>
      </c>
      <c r="D16" s="117">
        <v>-2.6903037059312757E-2</v>
      </c>
      <c r="E16" s="117">
        <v>2.0952600828537397E-2</v>
      </c>
      <c r="F16" s="117">
        <v>6.2100609726487718E-2</v>
      </c>
      <c r="G16" s="117">
        <v>7.7413260571262452E-2</v>
      </c>
      <c r="H16" s="117">
        <v>0.1207608309220269</v>
      </c>
      <c r="I16" s="117">
        <v>0.1134821054540046</v>
      </c>
      <c r="J16" s="117">
        <v>0.11109335286553755</v>
      </c>
      <c r="K16" s="117">
        <v>0.10767278439449519</v>
      </c>
      <c r="L16" s="117">
        <v>4.0812432783861118E-2</v>
      </c>
      <c r="M16" s="117">
        <v>9.5394800080700781E-2</v>
      </c>
    </row>
    <row r="17" spans="1:13" ht="15" customHeight="1" x14ac:dyDescent="0.2">
      <c r="A17" s="118" t="s">
        <v>329</v>
      </c>
      <c r="C17" s="117">
        <v>5.1328959714178182E-2</v>
      </c>
      <c r="D17" s="117">
        <v>3.986358151264828E-2</v>
      </c>
      <c r="E17" s="117">
        <v>0.12973675414835911</v>
      </c>
      <c r="F17" s="117">
        <v>0.17600658805710817</v>
      </c>
      <c r="G17" s="117">
        <v>2.529085893594149E-2</v>
      </c>
      <c r="H17" s="117">
        <v>0.16651911335544434</v>
      </c>
      <c r="I17" s="117">
        <v>0.12756136179777014</v>
      </c>
      <c r="J17" s="117">
        <v>9.3393823707094051E-2</v>
      </c>
      <c r="K17" s="117">
        <v>8.2460975966894876E-2</v>
      </c>
      <c r="L17" s="117">
        <v>0.10058860296452866</v>
      </c>
      <c r="M17" s="117">
        <v>0.15192019013111921</v>
      </c>
    </row>
    <row r="18" spans="1:13" ht="15" customHeight="1" x14ac:dyDescent="0.2">
      <c r="A18" s="118" t="s">
        <v>341</v>
      </c>
      <c r="C18" s="117">
        <v>0.12278063563265079</v>
      </c>
      <c r="D18" s="117">
        <v>8.978955456842852E-2</v>
      </c>
      <c r="E18" s="117">
        <v>0.11648238239170568</v>
      </c>
      <c r="F18" s="117">
        <v>0.16550183861651621</v>
      </c>
      <c r="G18" s="117">
        <v>0.13211233522084007</v>
      </c>
      <c r="H18" s="117">
        <v>0.1413933775279933</v>
      </c>
      <c r="I18" s="117">
        <v>0.19711623692803151</v>
      </c>
      <c r="J18" s="117">
        <v>0.19923523907413901</v>
      </c>
      <c r="K18" s="117">
        <v>8.643975523729884E-2</v>
      </c>
      <c r="L18" s="117">
        <v>-9.9440741372802788E-2</v>
      </c>
      <c r="M18" s="117">
        <v>0.11983770256035542</v>
      </c>
    </row>
    <row r="19" spans="1:13" ht="15" customHeight="1" x14ac:dyDescent="0.2">
      <c r="A19" s="118" t="s">
        <v>354</v>
      </c>
      <c r="C19" s="117">
        <v>4.9537153579506617E-2</v>
      </c>
      <c r="D19" s="117">
        <v>1.0371586680396816E-2</v>
      </c>
      <c r="E19" s="117">
        <v>7.8745073417389122E-2</v>
      </c>
      <c r="F19" s="117">
        <v>8.3697647004044126E-2</v>
      </c>
      <c r="G19" s="117">
        <v>5.7618687158806713E-2</v>
      </c>
      <c r="H19" s="117">
        <v>0.13561500352507111</v>
      </c>
      <c r="I19" s="117">
        <v>0.23009030008731268</v>
      </c>
      <c r="J19" s="117">
        <v>9.5116763887980751E-2</v>
      </c>
      <c r="K19" s="117">
        <v>0.16842581635470669</v>
      </c>
      <c r="L19" s="117">
        <v>4.9323140040820564E-2</v>
      </c>
      <c r="M19" s="117">
        <v>0.13400200830290973</v>
      </c>
    </row>
    <row r="20" spans="1:13" ht="15" customHeight="1" x14ac:dyDescent="0.2">
      <c r="A20" s="118" t="s">
        <v>367</v>
      </c>
      <c r="C20" s="117">
        <v>0.16441840094593679</v>
      </c>
      <c r="D20" s="117">
        <v>0.11202669887539753</v>
      </c>
      <c r="E20" s="117">
        <v>9.9528181694152701E-2</v>
      </c>
      <c r="F20" s="117">
        <v>7.6264915401041938E-2</v>
      </c>
      <c r="G20" s="117">
        <v>5.2605068973870239E-2</v>
      </c>
      <c r="H20" s="117">
        <v>0.12638261689653629</v>
      </c>
      <c r="I20" s="117">
        <v>0.2405516093745893</v>
      </c>
      <c r="J20" s="117">
        <v>9.1857572334885965E-2</v>
      </c>
      <c r="K20" s="117">
        <v>9.2196674041093621E-2</v>
      </c>
      <c r="L20" s="117">
        <v>0.15566795525257021</v>
      </c>
      <c r="M20" s="117">
        <v>0.26523702163120749</v>
      </c>
    </row>
    <row r="21" spans="1:13" ht="15" customHeight="1" x14ac:dyDescent="0.2">
      <c r="A21" s="118" t="s">
        <v>380</v>
      </c>
      <c r="C21" s="117">
        <v>8.5253947239225414E-2</v>
      </c>
      <c r="D21" s="117">
        <v>0.26085075585664064</v>
      </c>
      <c r="E21" s="117">
        <v>0.13293138934652837</v>
      </c>
      <c r="F21" s="117">
        <v>0.20118431144061499</v>
      </c>
      <c r="G21" s="117">
        <v>0.26543164426144017</v>
      </c>
      <c r="H21" s="117">
        <v>0.25484266813003642</v>
      </c>
      <c r="I21" s="117">
        <v>0.25650429007013259</v>
      </c>
      <c r="J21" s="117">
        <v>0.2702601265055683</v>
      </c>
      <c r="K21" s="117">
        <v>0.22782249586702238</v>
      </c>
      <c r="L21" s="117">
        <v>0.11469162117541365</v>
      </c>
      <c r="M21" s="117">
        <v>0.25066579300235942</v>
      </c>
    </row>
    <row r="22" spans="1:13" ht="15" customHeight="1" x14ac:dyDescent="0.2">
      <c r="A22" s="118" t="s">
        <v>393</v>
      </c>
      <c r="C22" s="117">
        <v>1.0516628363916642E-2</v>
      </c>
      <c r="D22" s="117">
        <v>0.13332946970552265</v>
      </c>
      <c r="E22" s="117">
        <v>0.10477477859939456</v>
      </c>
      <c r="F22" s="117">
        <v>0.14406695116981785</v>
      </c>
      <c r="G22" s="117">
        <v>0.15317875070352077</v>
      </c>
      <c r="H22" s="117">
        <v>0.17356636079795021</v>
      </c>
      <c r="I22" s="117">
        <v>0.19882827504301506</v>
      </c>
      <c r="J22" s="117">
        <v>0.17869427119763995</v>
      </c>
      <c r="K22" s="117">
        <v>0.19312889868175698</v>
      </c>
      <c r="L22" s="117">
        <v>9.5981993257748838E-2</v>
      </c>
      <c r="M22" s="117">
        <v>0.17969803971871567</v>
      </c>
    </row>
    <row r="23" spans="1:13" ht="15" customHeight="1" x14ac:dyDescent="0.2">
      <c r="A23" s="118" t="s">
        <v>404</v>
      </c>
      <c r="C23" s="117">
        <v>0.10282333162073677</v>
      </c>
      <c r="D23" s="117">
        <v>2.4979706384365485E-2</v>
      </c>
      <c r="E23" s="117">
        <v>2.761348331609004E-3</v>
      </c>
      <c r="F23" s="117">
        <v>6.7765618162245828E-2</v>
      </c>
      <c r="G23" s="117">
        <v>5.970641433624542E-2</v>
      </c>
      <c r="H23" s="117">
        <v>0.14486111826195111</v>
      </c>
      <c r="I23" s="117">
        <v>0.13091887972675181</v>
      </c>
      <c r="J23" s="117">
        <v>6.498356422132083E-2</v>
      </c>
      <c r="K23" s="117">
        <v>3.9926336602110014E-2</v>
      </c>
      <c r="L23" s="117">
        <v>-3.7634977688607643E-2</v>
      </c>
      <c r="M23" s="117">
        <v>3.2125051619238077E-3</v>
      </c>
    </row>
    <row r="24" spans="1:13" ht="15" customHeight="1" x14ac:dyDescent="0.2">
      <c r="A24" s="118" t="s">
        <v>417</v>
      </c>
      <c r="C24" s="117">
        <v>-7.6831425673283714E-3</v>
      </c>
      <c r="D24" s="117">
        <v>0.10711644108292515</v>
      </c>
      <c r="E24" s="117">
        <v>2.5620669772485023E-2</v>
      </c>
      <c r="F24" s="117">
        <v>1.8457337345767651E-2</v>
      </c>
      <c r="G24" s="117">
        <v>9.6992960882325993E-2</v>
      </c>
      <c r="H24" s="117">
        <v>0.2048012325138561</v>
      </c>
      <c r="I24" s="117">
        <v>0.19741713394281249</v>
      </c>
      <c r="J24" s="117">
        <v>0.10899380294559825</v>
      </c>
      <c r="K24" s="117">
        <v>0.20126483108305621</v>
      </c>
      <c r="L24" s="117">
        <v>0.14775918417375639</v>
      </c>
      <c r="M24" s="117">
        <v>0.17369499883082123</v>
      </c>
    </row>
    <row r="25" spans="1:13" ht="15" customHeight="1" x14ac:dyDescent="0.2">
      <c r="A25" s="118" t="s">
        <v>458</v>
      </c>
      <c r="C25" s="117">
        <v>0.12987963466918201</v>
      </c>
      <c r="D25" s="117">
        <v>0.12584612329545644</v>
      </c>
      <c r="E25" s="117">
        <v>0.16039303557767681</v>
      </c>
      <c r="F25" s="117">
        <v>0.139277236017637</v>
      </c>
      <c r="G25" s="117">
        <v>0.13646386354646642</v>
      </c>
      <c r="H25" s="117">
        <v>0.25220796043951532</v>
      </c>
      <c r="I25" s="117">
        <v>0.22381439164784991</v>
      </c>
      <c r="J25" s="117">
        <v>0.11278143251588452</v>
      </c>
      <c r="K25" s="117">
        <v>0.17680853330935944</v>
      </c>
      <c r="L25" s="117">
        <v>0.13516541527815853</v>
      </c>
      <c r="M25" s="117">
        <v>0.24069099914579878</v>
      </c>
    </row>
    <row r="26" spans="1:13" ht="15" customHeight="1" x14ac:dyDescent="0.2">
      <c r="A26" s="118" t="s">
        <v>470</v>
      </c>
      <c r="C26" s="117">
        <v>0.24022323097299508</v>
      </c>
      <c r="D26" s="117">
        <v>0.24614291687373827</v>
      </c>
      <c r="E26" s="117">
        <v>0.19524547224158134</v>
      </c>
      <c r="F26" s="117">
        <v>0.27710441430127725</v>
      </c>
      <c r="G26" s="117">
        <v>0.18736798983241154</v>
      </c>
      <c r="H26" s="117">
        <v>0.22123626605381175</v>
      </c>
      <c r="I26" s="117">
        <v>0.29608817078490024</v>
      </c>
      <c r="J26" s="117">
        <v>0.21389590353842078</v>
      </c>
      <c r="K26" s="117">
        <v>0.24789823565757738</v>
      </c>
      <c r="L26" s="117">
        <v>0.25662889327136512</v>
      </c>
      <c r="M26" s="117">
        <v>0.36255943028141663</v>
      </c>
    </row>
    <row r="27" spans="1:13" ht="15" customHeight="1" x14ac:dyDescent="0.2">
      <c r="A27" s="118" t="s">
        <v>483</v>
      </c>
      <c r="C27" s="117">
        <v>0.17768782449430487</v>
      </c>
      <c r="D27" s="117">
        <v>0.11710164873905024</v>
      </c>
      <c r="E27" s="117">
        <v>0.13478278215001654</v>
      </c>
      <c r="F27" s="117">
        <v>0.10741803960178806</v>
      </c>
      <c r="G27" s="117">
        <v>0.10718326309778077</v>
      </c>
      <c r="H27" s="117">
        <v>0.23207125076520393</v>
      </c>
      <c r="I27" s="117">
        <v>0.19638216394142036</v>
      </c>
      <c r="J27" s="117">
        <v>0.21534931522484474</v>
      </c>
      <c r="K27" s="117">
        <v>0.18988219000690876</v>
      </c>
      <c r="L27" s="117">
        <v>0.11749021342042404</v>
      </c>
      <c r="M27" s="117">
        <v>0.23596105132897069</v>
      </c>
    </row>
    <row r="28" spans="1:13" ht="15" customHeight="1" x14ac:dyDescent="0.2">
      <c r="A28" s="118" t="s">
        <v>495</v>
      </c>
      <c r="C28" s="117">
        <v>-1.752477186856221E-2</v>
      </c>
      <c r="D28" s="117">
        <v>0.11115915109167451</v>
      </c>
      <c r="E28" s="117">
        <v>0.17507301295777278</v>
      </c>
      <c r="F28" s="117">
        <v>0.1942816592852418</v>
      </c>
      <c r="G28" s="117">
        <v>0.27551728995540803</v>
      </c>
      <c r="H28" s="117">
        <v>0.29781914556312783</v>
      </c>
      <c r="I28" s="117">
        <v>0.24927804734767001</v>
      </c>
      <c r="J28" s="117">
        <v>0.21573390674328868</v>
      </c>
      <c r="K28" s="117">
        <v>0.23413691418942265</v>
      </c>
      <c r="L28" s="117">
        <v>0.11844323425121635</v>
      </c>
      <c r="M28" s="117">
        <v>0.24323682088161458</v>
      </c>
    </row>
    <row r="29" spans="1:13" ht="15" customHeight="1" x14ac:dyDescent="0.2">
      <c r="A29" s="118" t="s">
        <v>507</v>
      </c>
      <c r="C29" s="117">
        <v>0.13744128937319305</v>
      </c>
      <c r="D29" s="117">
        <v>0.15517141916864685</v>
      </c>
      <c r="E29" s="117">
        <v>5.7127880463471357E-2</v>
      </c>
      <c r="F29" s="117">
        <v>0.12468230803296995</v>
      </c>
      <c r="G29" s="117">
        <v>7.7649471729098835E-2</v>
      </c>
      <c r="H29" s="117">
        <v>9.6100992980922534E-2</v>
      </c>
      <c r="I29" s="117">
        <v>8.0322904217754468E-2</v>
      </c>
      <c r="J29" s="117">
        <v>-1.0300406856606801E-2</v>
      </c>
      <c r="K29" s="117">
        <v>8.7455228591073061E-2</v>
      </c>
      <c r="L29" s="117">
        <v>-6.2094633547022576E-2</v>
      </c>
      <c r="M29" s="117">
        <v>1.5367847984657228E-2</v>
      </c>
    </row>
    <row r="30" spans="1:13" ht="15" customHeight="1" x14ac:dyDescent="0.2">
      <c r="A30" s="118" t="s">
        <v>518</v>
      </c>
      <c r="C30" s="117">
        <v>0.10789868765698986</v>
      </c>
      <c r="D30" s="117">
        <v>0.166761643813122</v>
      </c>
      <c r="E30" s="117">
        <v>0.1104106453476762</v>
      </c>
      <c r="F30" s="117">
        <v>7.8213466394789544E-2</v>
      </c>
      <c r="G30" s="117">
        <v>0.12802907377263809</v>
      </c>
      <c r="H30" s="117">
        <v>0.13989706384658174</v>
      </c>
      <c r="I30" s="117">
        <v>0.10081783200624078</v>
      </c>
      <c r="J30" s="117">
        <v>7.2904386074372621E-2</v>
      </c>
      <c r="K30" s="117">
        <v>6.2749782216983033E-2</v>
      </c>
      <c r="L30" s="117">
        <v>-1.3762514403932806E-2</v>
      </c>
      <c r="M30" s="117">
        <v>6.9398329348248938E-2</v>
      </c>
    </row>
    <row r="31" spans="1:13" ht="15" customHeight="1" x14ac:dyDescent="0.2">
      <c r="A31" s="118" t="s">
        <v>430</v>
      </c>
      <c r="C31" s="117">
        <v>0.19550909859732382</v>
      </c>
      <c r="D31" s="117">
        <v>0.16127675044041154</v>
      </c>
      <c r="E31" s="117">
        <v>0.1331264566238313</v>
      </c>
      <c r="F31" s="117">
        <v>0.11575688597330955</v>
      </c>
      <c r="G31" s="117">
        <v>0.13143939550478836</v>
      </c>
      <c r="H31" s="117">
        <v>4.8786358381876151E-2</v>
      </c>
      <c r="I31" s="117">
        <v>0.14801352788277999</v>
      </c>
      <c r="J31" s="117">
        <v>-2.3003294425600687E-2</v>
      </c>
      <c r="K31" s="117">
        <v>6.5398719863783025E-2</v>
      </c>
      <c r="L31" s="117">
        <v>7.1076119224191643E-3</v>
      </c>
      <c r="M31" s="117">
        <v>0.11190911687017549</v>
      </c>
    </row>
    <row r="32" spans="1:13" ht="15" customHeight="1" thickBot="1" x14ac:dyDescent="0.25">
      <c r="A32" s="119" t="s">
        <v>443</v>
      </c>
      <c r="B32" s="120"/>
      <c r="C32" s="121">
        <v>3.3314398137885171E-2</v>
      </c>
      <c r="D32" s="121">
        <v>0.16818657100360032</v>
      </c>
      <c r="E32" s="121">
        <v>6.2384055296699673E-2</v>
      </c>
      <c r="F32" s="121">
        <v>0.12414012908023692</v>
      </c>
      <c r="G32" s="121">
        <v>0.12736841211771396</v>
      </c>
      <c r="H32" s="121">
        <v>0.11526024411762151</v>
      </c>
      <c r="I32" s="121">
        <v>5.8616902143144724E-2</v>
      </c>
      <c r="J32" s="121">
        <v>8.2786838165709059E-2</v>
      </c>
      <c r="K32" s="121">
        <v>4.7615686922075254E-2</v>
      </c>
      <c r="L32" s="121">
        <v>3.1416956831480707E-2</v>
      </c>
      <c r="M32" s="121">
        <v>0.16772806215278102</v>
      </c>
    </row>
    <row r="33" spans="1:13" ht="15" customHeight="1" x14ac:dyDescent="0.2">
      <c r="A33" s="47"/>
      <c r="M33" s="112"/>
    </row>
  </sheetData>
  <mergeCells count="1">
    <mergeCell ref="K1:M1"/>
  </mergeCells>
  <hyperlinks>
    <hyperlink ref="K1:M1" location="Home_page" display="Back to_x000a_home page" xr:uid="{DC420A16-40A0-4762-BD79-8AE2C8E400B7}"/>
  </hyperlinks>
  <pageMargins left="0.70866141732283472" right="0.70866141732283472" top="0.74803149606299213" bottom="0.74803149606299213" header="0.31496062992125984" footer="0.31496062992125984"/>
  <pageSetup paperSize="9" orientation="landscape"/>
  <extLst>
    <ext xmlns:x14="http://schemas.microsoft.com/office/spreadsheetml/2009/9/main" uri="{05C60535-1F16-4fd2-B633-F4F36F0B64E0}">
      <x14:sparklineGroups xmlns:xm="http://schemas.microsoft.com/office/excel/2006/main">
        <x14:sparklineGroup manualMax="0" manualMin="0" displayEmptyCellsAs="gap" high="1" low="1" xr2:uid="{21EA5F7C-3506-4251-BA01-0DF712B29712}">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'Net profit margin'!C3:M3</xm:f>
              <xm:sqref>B3</xm:sqref>
            </x14:sparkline>
            <x14:sparkline>
              <xm:f>'Net profit margin'!C4:M4</xm:f>
              <xm:sqref>B4</xm:sqref>
            </x14:sparkline>
            <x14:sparkline>
              <xm:f>'Net profit margin'!C5:M5</xm:f>
              <xm:sqref>B5</xm:sqref>
            </x14:sparkline>
            <x14:sparkline>
              <xm:f>'Net profit margin'!C6:M6</xm:f>
              <xm:sqref>B6</xm:sqref>
            </x14:sparkline>
            <x14:sparkline>
              <xm:f>'Net profit margin'!C7:M7</xm:f>
              <xm:sqref>B7</xm:sqref>
            </x14:sparkline>
            <x14:sparkline>
              <xm:f>'Net profit margin'!C8:M8</xm:f>
              <xm:sqref>B8</xm:sqref>
            </x14:sparkline>
            <x14:sparkline>
              <xm:f>'Net profit margin'!C9:M9</xm:f>
              <xm:sqref>B9</xm:sqref>
            </x14:sparkline>
            <x14:sparkline>
              <xm:f>'Net profit margin'!C10:M10</xm:f>
              <xm:sqref>B10</xm:sqref>
            </x14:sparkline>
            <x14:sparkline>
              <xm:f>'Net profit margin'!C11:M11</xm:f>
              <xm:sqref>B11</xm:sqref>
            </x14:sparkline>
            <x14:sparkline>
              <xm:f>'Net profit margin'!C12:M12</xm:f>
              <xm:sqref>B12</xm:sqref>
            </x14:sparkline>
            <x14:sparkline>
              <xm:f>'Net profit margin'!C13:M13</xm:f>
              <xm:sqref>B13</xm:sqref>
            </x14:sparkline>
            <x14:sparkline>
              <xm:f>'Net profit margin'!C14:M14</xm:f>
              <xm:sqref>B14</xm:sqref>
            </x14:sparkline>
            <x14:sparkline>
              <xm:f>'Net profit margin'!C15:M15</xm:f>
              <xm:sqref>B15</xm:sqref>
            </x14:sparkline>
            <x14:sparkline>
              <xm:f>'Net profit margin'!C16:M16</xm:f>
              <xm:sqref>B16</xm:sqref>
            </x14:sparkline>
            <x14:sparkline>
              <xm:f>'Net profit margin'!C17:M17</xm:f>
              <xm:sqref>B17</xm:sqref>
            </x14:sparkline>
            <x14:sparkline>
              <xm:f>'Net profit margin'!C18:M18</xm:f>
              <xm:sqref>B18</xm:sqref>
            </x14:sparkline>
            <x14:sparkline>
              <xm:f>'Net profit margin'!C19:M19</xm:f>
              <xm:sqref>B19</xm:sqref>
            </x14:sparkline>
            <x14:sparkline>
              <xm:f>'Net profit margin'!C20:M20</xm:f>
              <xm:sqref>B20</xm:sqref>
            </x14:sparkline>
            <x14:sparkline>
              <xm:f>'Net profit margin'!C21:M21</xm:f>
              <xm:sqref>B21</xm:sqref>
            </x14:sparkline>
            <x14:sparkline>
              <xm:f>'Net profit margin'!C22:M22</xm:f>
              <xm:sqref>B22</xm:sqref>
            </x14:sparkline>
            <x14:sparkline>
              <xm:f>'Net profit margin'!C23:M23</xm:f>
              <xm:sqref>B23</xm:sqref>
            </x14:sparkline>
            <x14:sparkline>
              <xm:f>'Net profit margin'!C24:M24</xm:f>
              <xm:sqref>B24</xm:sqref>
            </x14:sparkline>
            <x14:sparkline>
              <xm:f>'Net profit margin'!C25:M25</xm:f>
              <xm:sqref>B25</xm:sqref>
            </x14:sparkline>
            <x14:sparkline>
              <xm:f>'Net profit margin'!C26:M26</xm:f>
              <xm:sqref>B26</xm:sqref>
            </x14:sparkline>
            <x14:sparkline>
              <xm:f>'Net profit margin'!C27:M27</xm:f>
              <xm:sqref>B27</xm:sqref>
            </x14:sparkline>
            <x14:sparkline>
              <xm:f>'Net profit margin'!C28:M28</xm:f>
              <xm:sqref>B28</xm:sqref>
            </x14:sparkline>
            <x14:sparkline>
              <xm:f>'Net profit margin'!C29:M29</xm:f>
              <xm:sqref>B29</xm:sqref>
            </x14:sparkline>
            <x14:sparkline>
              <xm:f>'Net profit margin'!C30:M30</xm:f>
              <xm:sqref>B30</xm:sqref>
            </x14:sparkline>
            <x14:sparkline>
              <xm:f>'Net profit margin'!C31:M31</xm:f>
              <xm:sqref>B31</xm:sqref>
            </x14:sparkline>
            <x14:sparkline>
              <xm:f>'Net profit margin'!C32:M32</xm:f>
              <xm:sqref>B32</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264D4-983C-47A0-84B2-67117D7A1C4D}">
  <sheetPr codeName="Feuil42">
    <pageSetUpPr fitToPage="1"/>
  </sheetPr>
  <dimension ref="A1:I33"/>
  <sheetViews>
    <sheetView workbookViewId="0"/>
  </sheetViews>
  <sheetFormatPr defaultColWidth="8.625" defaultRowHeight="12.75" x14ac:dyDescent="0.2"/>
  <cols>
    <col min="1" max="1" width="4.625" style="130" customWidth="1"/>
    <col min="2" max="2" width="46.125" style="130" customWidth="1"/>
    <col min="3" max="3" width="9.125" style="150" customWidth="1"/>
    <col min="4" max="4" width="20.625" style="150" customWidth="1"/>
    <col min="5" max="5" width="12.625" style="150" customWidth="1"/>
    <col min="6" max="7" width="9.625" style="150" customWidth="1"/>
    <col min="8" max="8" width="9.625" style="151" customWidth="1"/>
    <col min="9" max="9" width="9.625" style="150" customWidth="1"/>
    <col min="10" max="11" width="8.625" style="130"/>
    <col min="12" max="12" width="55.625" style="130" bestFit="1" customWidth="1"/>
    <col min="13" max="16384" width="8.625" style="130"/>
  </cols>
  <sheetData>
    <row r="1" spans="1:9" ht="28.5" customHeight="1" thickBot="1" x14ac:dyDescent="0.25">
      <c r="A1" s="168" t="s">
        <v>537</v>
      </c>
      <c r="C1" s="168"/>
      <c r="D1" s="168"/>
      <c r="E1" s="168"/>
      <c r="F1" s="168"/>
      <c r="G1" s="168"/>
      <c r="H1" s="168"/>
      <c r="I1" s="152" t="s">
        <v>3</v>
      </c>
    </row>
    <row r="2" spans="1:9" ht="26.25" thickBot="1" x14ac:dyDescent="0.25">
      <c r="A2" s="184" t="s">
        <v>538</v>
      </c>
      <c r="B2" s="185"/>
      <c r="C2" s="131" t="s">
        <v>539</v>
      </c>
      <c r="D2" s="131" t="s">
        <v>540</v>
      </c>
      <c r="E2" s="131" t="s">
        <v>541</v>
      </c>
      <c r="F2" s="131" t="s">
        <v>542</v>
      </c>
      <c r="G2" s="131" t="s">
        <v>543</v>
      </c>
      <c r="H2" s="131" t="s">
        <v>544</v>
      </c>
      <c r="I2" s="132" t="s">
        <v>545</v>
      </c>
    </row>
    <row r="3" spans="1:9" x14ac:dyDescent="0.2">
      <c r="A3" s="133">
        <v>1</v>
      </c>
      <c r="B3" s="134" t="s">
        <v>546</v>
      </c>
      <c r="C3" s="135" t="s">
        <v>547</v>
      </c>
      <c r="D3" s="135" t="s">
        <v>548</v>
      </c>
      <c r="E3" s="136"/>
      <c r="F3" s="136"/>
      <c r="G3" s="136"/>
      <c r="H3" s="135" t="s">
        <v>549</v>
      </c>
      <c r="I3" s="137"/>
    </row>
    <row r="4" spans="1:9" x14ac:dyDescent="0.2">
      <c r="A4" s="133">
        <v>2</v>
      </c>
      <c r="B4" s="138" t="s">
        <v>129</v>
      </c>
      <c r="C4" s="139" t="s">
        <v>547</v>
      </c>
      <c r="D4" s="139" t="s">
        <v>548</v>
      </c>
      <c r="E4" s="140" t="s">
        <v>550</v>
      </c>
      <c r="F4" s="140"/>
      <c r="G4" s="140" t="s">
        <v>551</v>
      </c>
      <c r="H4" s="139" t="s">
        <v>549</v>
      </c>
      <c r="I4" s="141"/>
    </row>
    <row r="5" spans="1:9" x14ac:dyDescent="0.2">
      <c r="A5" s="133">
        <v>3</v>
      </c>
      <c r="B5" s="138" t="s">
        <v>148</v>
      </c>
      <c r="C5" s="139" t="s">
        <v>547</v>
      </c>
      <c r="D5" s="139" t="s">
        <v>548</v>
      </c>
      <c r="E5" s="140" t="s">
        <v>550</v>
      </c>
      <c r="F5" s="140"/>
      <c r="G5" s="140" t="s">
        <v>552</v>
      </c>
      <c r="H5" s="139" t="s">
        <v>549</v>
      </c>
      <c r="I5" s="141"/>
    </row>
    <row r="6" spans="1:9" ht="38.25" x14ac:dyDescent="0.2">
      <c r="A6" s="133">
        <v>4</v>
      </c>
      <c r="B6" s="138" t="s">
        <v>553</v>
      </c>
      <c r="C6" s="139" t="s">
        <v>554</v>
      </c>
      <c r="D6" s="139" t="s">
        <v>548</v>
      </c>
      <c r="E6" s="140" t="s">
        <v>555</v>
      </c>
      <c r="F6" s="140"/>
      <c r="G6" s="140"/>
      <c r="H6" s="139" t="s">
        <v>556</v>
      </c>
      <c r="I6" s="141"/>
    </row>
    <row r="7" spans="1:9" ht="38.25" x14ac:dyDescent="0.2">
      <c r="A7" s="133">
        <v>5</v>
      </c>
      <c r="B7" s="138" t="s">
        <v>557</v>
      </c>
      <c r="C7" s="139" t="s">
        <v>554</v>
      </c>
      <c r="D7" s="139" t="s">
        <v>548</v>
      </c>
      <c r="E7" s="140" t="s">
        <v>555</v>
      </c>
      <c r="F7" s="140"/>
      <c r="G7" s="140"/>
      <c r="H7" s="139" t="s">
        <v>558</v>
      </c>
      <c r="I7" s="141"/>
    </row>
    <row r="8" spans="1:9" x14ac:dyDescent="0.2">
      <c r="A8" s="133">
        <v>6</v>
      </c>
      <c r="B8" s="138" t="s">
        <v>559</v>
      </c>
      <c r="C8" s="139"/>
      <c r="D8" s="139" t="s">
        <v>560</v>
      </c>
      <c r="E8" s="140" t="s">
        <v>555</v>
      </c>
      <c r="F8" s="140"/>
      <c r="G8" s="140"/>
      <c r="H8" s="139" t="s">
        <v>549</v>
      </c>
      <c r="I8" s="141"/>
    </row>
    <row r="9" spans="1:9" x14ac:dyDescent="0.2">
      <c r="A9" s="133">
        <v>7</v>
      </c>
      <c r="B9" s="138" t="s">
        <v>561</v>
      </c>
      <c r="C9" s="139"/>
      <c r="D9" s="139" t="s">
        <v>562</v>
      </c>
      <c r="E9" s="140" t="s">
        <v>555</v>
      </c>
      <c r="F9" s="140"/>
      <c r="G9" s="140"/>
      <c r="H9" s="139" t="s">
        <v>549</v>
      </c>
      <c r="I9" s="141"/>
    </row>
    <row r="10" spans="1:9" x14ac:dyDescent="0.2">
      <c r="A10" s="133">
        <v>8</v>
      </c>
      <c r="B10" s="138" t="s">
        <v>563</v>
      </c>
      <c r="C10" s="139"/>
      <c r="D10" s="139"/>
      <c r="E10" s="140"/>
      <c r="F10" s="140"/>
      <c r="G10" s="140"/>
      <c r="H10" s="139" t="s">
        <v>549</v>
      </c>
      <c r="I10" s="141" t="s">
        <v>564</v>
      </c>
    </row>
    <row r="11" spans="1:9" x14ac:dyDescent="0.2">
      <c r="A11" s="133">
        <v>9</v>
      </c>
      <c r="B11" s="138" t="s">
        <v>565</v>
      </c>
      <c r="C11" s="139"/>
      <c r="D11" s="139"/>
      <c r="E11" s="140"/>
      <c r="F11" s="140"/>
      <c r="G11" s="140"/>
      <c r="H11" s="139" t="s">
        <v>566</v>
      </c>
      <c r="I11" s="141" t="s">
        <v>564</v>
      </c>
    </row>
    <row r="12" spans="1:9" x14ac:dyDescent="0.2">
      <c r="A12" s="133">
        <v>10</v>
      </c>
      <c r="B12" s="138" t="s">
        <v>567</v>
      </c>
      <c r="C12" s="139"/>
      <c r="D12" s="139"/>
      <c r="E12" s="140"/>
      <c r="F12" s="140"/>
      <c r="G12" s="140"/>
      <c r="H12" s="139" t="s">
        <v>549</v>
      </c>
      <c r="I12" s="141"/>
    </row>
    <row r="13" spans="1:9" x14ac:dyDescent="0.2">
      <c r="A13" s="133">
        <v>11</v>
      </c>
      <c r="B13" s="138" t="s">
        <v>266</v>
      </c>
      <c r="C13" s="139" t="s">
        <v>568</v>
      </c>
      <c r="D13" s="139" t="s">
        <v>569</v>
      </c>
      <c r="E13" s="140" t="s">
        <v>555</v>
      </c>
      <c r="F13" s="140"/>
      <c r="G13" s="140" t="s">
        <v>570</v>
      </c>
      <c r="H13" s="139" t="s">
        <v>549</v>
      </c>
      <c r="I13" s="141"/>
    </row>
    <row r="14" spans="1:9" x14ac:dyDescent="0.2">
      <c r="A14" s="133">
        <v>12</v>
      </c>
      <c r="B14" s="138" t="s">
        <v>280</v>
      </c>
      <c r="C14" s="139" t="s">
        <v>568</v>
      </c>
      <c r="D14" s="139" t="s">
        <v>569</v>
      </c>
      <c r="E14" s="140" t="s">
        <v>555</v>
      </c>
      <c r="F14" s="140"/>
      <c r="G14" s="140" t="s">
        <v>571</v>
      </c>
      <c r="H14" s="139" t="s">
        <v>549</v>
      </c>
      <c r="I14" s="141"/>
    </row>
    <row r="15" spans="1:9" x14ac:dyDescent="0.2">
      <c r="A15" s="133">
        <v>13</v>
      </c>
      <c r="B15" s="138" t="s">
        <v>572</v>
      </c>
      <c r="C15" s="139" t="s">
        <v>568</v>
      </c>
      <c r="D15" s="139" t="s">
        <v>548</v>
      </c>
      <c r="E15" s="140" t="s">
        <v>550</v>
      </c>
      <c r="F15" s="140"/>
      <c r="G15" s="140" t="s">
        <v>570</v>
      </c>
      <c r="H15" s="139" t="s">
        <v>549</v>
      </c>
      <c r="I15" s="141"/>
    </row>
    <row r="16" spans="1:9" x14ac:dyDescent="0.2">
      <c r="A16" s="133">
        <v>14</v>
      </c>
      <c r="B16" s="138" t="s">
        <v>573</v>
      </c>
      <c r="C16" s="139" t="s">
        <v>568</v>
      </c>
      <c r="D16" s="139" t="s">
        <v>548</v>
      </c>
      <c r="E16" s="140" t="s">
        <v>550</v>
      </c>
      <c r="F16" s="140"/>
      <c r="G16" s="140" t="s">
        <v>571</v>
      </c>
      <c r="H16" s="139" t="s">
        <v>549</v>
      </c>
      <c r="I16" s="141"/>
    </row>
    <row r="17" spans="1:9" x14ac:dyDescent="0.2">
      <c r="A17" s="133">
        <v>15</v>
      </c>
      <c r="B17" s="138" t="s">
        <v>574</v>
      </c>
      <c r="C17" s="139" t="s">
        <v>575</v>
      </c>
      <c r="D17" s="139"/>
      <c r="E17" s="140" t="s">
        <v>555</v>
      </c>
      <c r="F17" s="140"/>
      <c r="G17" s="140"/>
      <c r="H17" s="139" t="s">
        <v>576</v>
      </c>
      <c r="I17" s="141"/>
    </row>
    <row r="18" spans="1:9" x14ac:dyDescent="0.2">
      <c r="A18" s="133">
        <v>16</v>
      </c>
      <c r="B18" s="138" t="s">
        <v>577</v>
      </c>
      <c r="C18" s="139" t="s">
        <v>575</v>
      </c>
      <c r="D18" s="139" t="s">
        <v>548</v>
      </c>
      <c r="E18" s="140" t="s">
        <v>555</v>
      </c>
      <c r="F18" s="139" t="s">
        <v>578</v>
      </c>
      <c r="G18" s="140"/>
      <c r="H18" s="139" t="s">
        <v>549</v>
      </c>
      <c r="I18" s="141"/>
    </row>
    <row r="19" spans="1:9" ht="25.5" x14ac:dyDescent="0.2">
      <c r="A19" s="133">
        <v>17</v>
      </c>
      <c r="B19" s="138" t="s">
        <v>579</v>
      </c>
      <c r="C19" s="139" t="s">
        <v>575</v>
      </c>
      <c r="D19" s="139" t="s">
        <v>548</v>
      </c>
      <c r="E19" s="140" t="s">
        <v>555</v>
      </c>
      <c r="F19" s="139" t="s">
        <v>580</v>
      </c>
      <c r="G19" s="140"/>
      <c r="H19" s="139" t="s">
        <v>549</v>
      </c>
      <c r="I19" s="141"/>
    </row>
    <row r="20" spans="1:9" ht="25.5" x14ac:dyDescent="0.2">
      <c r="A20" s="133">
        <v>18</v>
      </c>
      <c r="B20" s="138" t="s">
        <v>581</v>
      </c>
      <c r="C20" s="139" t="s">
        <v>575</v>
      </c>
      <c r="D20" s="139" t="s">
        <v>548</v>
      </c>
      <c r="E20" s="140" t="s">
        <v>555</v>
      </c>
      <c r="F20" s="140"/>
      <c r="G20" s="140" t="s">
        <v>570</v>
      </c>
      <c r="H20" s="139" t="s">
        <v>556</v>
      </c>
      <c r="I20" s="141"/>
    </row>
    <row r="21" spans="1:9" ht="25.5" x14ac:dyDescent="0.2">
      <c r="A21" s="133">
        <v>19</v>
      </c>
      <c r="B21" s="138" t="s">
        <v>582</v>
      </c>
      <c r="C21" s="139" t="s">
        <v>575</v>
      </c>
      <c r="D21" s="139" t="s">
        <v>548</v>
      </c>
      <c r="E21" s="140" t="s">
        <v>555</v>
      </c>
      <c r="F21" s="140"/>
      <c r="G21" s="140" t="s">
        <v>571</v>
      </c>
      <c r="H21" s="139" t="s">
        <v>556</v>
      </c>
      <c r="I21" s="141"/>
    </row>
    <row r="22" spans="1:9" ht="25.5" x14ac:dyDescent="0.2">
      <c r="A22" s="133">
        <v>20</v>
      </c>
      <c r="B22" s="138" t="s">
        <v>583</v>
      </c>
      <c r="C22" s="139"/>
      <c r="D22" s="139" t="s">
        <v>584</v>
      </c>
      <c r="E22" s="140"/>
      <c r="F22" s="140"/>
      <c r="G22" s="140"/>
      <c r="H22" s="139" t="s">
        <v>585</v>
      </c>
      <c r="I22" s="141"/>
    </row>
    <row r="23" spans="1:9" x14ac:dyDescent="0.2">
      <c r="A23" s="133">
        <v>21</v>
      </c>
      <c r="B23" s="138" t="s">
        <v>586</v>
      </c>
      <c r="C23" s="139"/>
      <c r="D23" s="139" t="s">
        <v>584</v>
      </c>
      <c r="E23" s="140"/>
      <c r="F23" s="140"/>
      <c r="G23" s="140"/>
      <c r="H23" s="139" t="s">
        <v>587</v>
      </c>
      <c r="I23" s="141"/>
    </row>
    <row r="24" spans="1:9" ht="38.25" x14ac:dyDescent="0.2">
      <c r="A24" s="133">
        <v>22</v>
      </c>
      <c r="B24" s="138" t="s">
        <v>588</v>
      </c>
      <c r="C24" s="139" t="s">
        <v>554</v>
      </c>
      <c r="D24" s="139" t="s">
        <v>569</v>
      </c>
      <c r="E24" s="140"/>
      <c r="F24" s="140"/>
      <c r="G24" s="140" t="s">
        <v>589</v>
      </c>
      <c r="H24" s="139" t="s">
        <v>549</v>
      </c>
      <c r="I24" s="141"/>
    </row>
    <row r="25" spans="1:9" ht="38.25" x14ac:dyDescent="0.2">
      <c r="A25" s="133">
        <v>23</v>
      </c>
      <c r="B25" s="138" t="s">
        <v>590</v>
      </c>
      <c r="C25" s="139" t="s">
        <v>554</v>
      </c>
      <c r="D25" s="139" t="s">
        <v>569</v>
      </c>
      <c r="E25" s="140"/>
      <c r="F25" s="140"/>
      <c r="G25" s="140" t="s">
        <v>551</v>
      </c>
      <c r="H25" s="139" t="s">
        <v>549</v>
      </c>
      <c r="I25" s="141"/>
    </row>
    <row r="26" spans="1:9" x14ac:dyDescent="0.2">
      <c r="A26" s="133">
        <v>24</v>
      </c>
      <c r="B26" s="138" t="s">
        <v>591</v>
      </c>
      <c r="C26" s="139"/>
      <c r="D26" s="139" t="s">
        <v>548</v>
      </c>
      <c r="E26" s="140"/>
      <c r="F26" s="140"/>
      <c r="G26" s="140"/>
      <c r="H26" s="139" t="s">
        <v>566</v>
      </c>
      <c r="I26" s="141"/>
    </row>
    <row r="27" spans="1:9" x14ac:dyDescent="0.2">
      <c r="A27" s="133">
        <v>25</v>
      </c>
      <c r="B27" s="138" t="s">
        <v>592</v>
      </c>
      <c r="C27" s="139"/>
      <c r="D27" s="139" t="s">
        <v>560</v>
      </c>
      <c r="E27" s="140"/>
      <c r="F27" s="140"/>
      <c r="G27" s="140"/>
      <c r="H27" s="139" t="s">
        <v>566</v>
      </c>
      <c r="I27" s="141"/>
    </row>
    <row r="28" spans="1:9" x14ac:dyDescent="0.2">
      <c r="A28" s="133">
        <v>26</v>
      </c>
      <c r="B28" s="138" t="s">
        <v>593</v>
      </c>
      <c r="C28" s="139"/>
      <c r="D28" s="139" t="s">
        <v>584</v>
      </c>
      <c r="E28" s="140"/>
      <c r="F28" s="140"/>
      <c r="G28" s="140"/>
      <c r="H28" s="139" t="s">
        <v>566</v>
      </c>
      <c r="I28" s="141"/>
    </row>
    <row r="29" spans="1:9" x14ac:dyDescent="0.2">
      <c r="A29" s="133">
        <v>27</v>
      </c>
      <c r="B29" s="138" t="s">
        <v>594</v>
      </c>
      <c r="C29" s="139"/>
      <c r="D29" s="139" t="s">
        <v>562</v>
      </c>
      <c r="E29" s="140"/>
      <c r="F29" s="140"/>
      <c r="G29" s="140"/>
      <c r="H29" s="139" t="s">
        <v>566</v>
      </c>
      <c r="I29" s="141"/>
    </row>
    <row r="30" spans="1:9" x14ac:dyDescent="0.2">
      <c r="A30" s="133">
        <v>28</v>
      </c>
      <c r="B30" s="138" t="s">
        <v>595</v>
      </c>
      <c r="C30" s="139" t="s">
        <v>596</v>
      </c>
      <c r="D30" s="139" t="s">
        <v>548</v>
      </c>
      <c r="E30" s="140" t="s">
        <v>550</v>
      </c>
      <c r="F30" s="140"/>
      <c r="G30" s="140" t="s">
        <v>551</v>
      </c>
      <c r="H30" s="139" t="s">
        <v>549</v>
      </c>
      <c r="I30" s="141"/>
    </row>
    <row r="31" spans="1:9" x14ac:dyDescent="0.2">
      <c r="A31" s="133">
        <v>29</v>
      </c>
      <c r="B31" s="142" t="s">
        <v>597</v>
      </c>
      <c r="C31" s="143" t="s">
        <v>596</v>
      </c>
      <c r="D31" s="143" t="s">
        <v>548</v>
      </c>
      <c r="E31" s="144" t="s">
        <v>550</v>
      </c>
      <c r="F31" s="144"/>
      <c r="G31" s="144" t="s">
        <v>589</v>
      </c>
      <c r="H31" s="143" t="s">
        <v>549</v>
      </c>
      <c r="I31" s="145"/>
    </row>
    <row r="32" spans="1:9" ht="45.75" customHeight="1" x14ac:dyDescent="0.2">
      <c r="A32" s="133">
        <v>30</v>
      </c>
      <c r="B32" s="138" t="s">
        <v>430</v>
      </c>
      <c r="C32" s="139"/>
      <c r="D32" s="139" t="s">
        <v>598</v>
      </c>
      <c r="E32" s="139" t="s">
        <v>599</v>
      </c>
      <c r="F32" s="140"/>
      <c r="G32" s="140"/>
      <c r="H32" s="139" t="s">
        <v>600</v>
      </c>
      <c r="I32" s="141"/>
    </row>
    <row r="33" spans="1:9" ht="48" customHeight="1" thickBot="1" x14ac:dyDescent="0.25">
      <c r="A33" s="133">
        <v>31</v>
      </c>
      <c r="B33" s="146" t="s">
        <v>443</v>
      </c>
      <c r="C33" s="147"/>
      <c r="D33" s="147" t="s">
        <v>598</v>
      </c>
      <c r="E33" s="147" t="s">
        <v>599</v>
      </c>
      <c r="F33" s="148"/>
      <c r="G33" s="148"/>
      <c r="H33" s="147" t="s">
        <v>601</v>
      </c>
      <c r="I33" s="149"/>
    </row>
  </sheetData>
  <mergeCells count="1">
    <mergeCell ref="A2:B2"/>
  </mergeCells>
  <hyperlinks>
    <hyperlink ref="I1" location="Home_page" display="Back to_x000a_home page" xr:uid="{96200535-CC1D-4858-BF38-500A20F75A62}"/>
  </hyperlinks>
  <pageMargins left="0.70866141732283472" right="0.70866141732283472" top="0.74803149606299213" bottom="0.74803149606299213" header="0.31496062992125984" footer="0.31496062992125984"/>
  <pageSetup paperSize="9" scale="6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D62B0-8938-4D43-8AFC-16F91977085A}">
  <sheetPr codeName="Feuille2">
    <pageSetUpPr fitToPage="1"/>
  </sheetPr>
  <dimension ref="A1:N33"/>
  <sheetViews>
    <sheetView workbookViewId="0">
      <selection activeCell="F17" sqref="F17"/>
    </sheetView>
  </sheetViews>
  <sheetFormatPr defaultColWidth="8.625" defaultRowHeight="12.75" x14ac:dyDescent="0.2"/>
  <cols>
    <col min="1" max="1" width="26.125" style="18" customWidth="1"/>
    <col min="2" max="2" width="12.125" style="7" customWidth="1"/>
    <col min="3" max="3" width="8.625" style="7"/>
    <col min="4" max="14" width="10.125" style="7" customWidth="1"/>
    <col min="15" max="16384" width="8.625" style="2"/>
  </cols>
  <sheetData>
    <row r="1" spans="1:14" ht="32.25" customHeight="1" x14ac:dyDescent="0.2">
      <c r="A1" s="5" t="s">
        <v>2</v>
      </c>
      <c r="B1" s="6"/>
      <c r="C1" s="6"/>
      <c r="D1" s="6"/>
      <c r="E1" s="6"/>
      <c r="F1" s="6"/>
      <c r="G1" s="6"/>
      <c r="H1" s="6"/>
      <c r="M1" s="186" t="s">
        <v>3</v>
      </c>
      <c r="N1" s="186"/>
    </row>
    <row r="2" spans="1:14" x14ac:dyDescent="0.2">
      <c r="A2" s="8" t="s">
        <v>16</v>
      </c>
      <c r="B2" s="6"/>
      <c r="C2" s="6"/>
      <c r="D2" s="6"/>
      <c r="E2" s="6"/>
      <c r="F2" s="6"/>
      <c r="G2" s="6"/>
      <c r="H2" s="6"/>
      <c r="K2" s="9"/>
      <c r="L2" s="9"/>
    </row>
    <row r="3" spans="1:14" ht="64.5" thickBot="1" x14ac:dyDescent="0.25">
      <c r="A3" s="10" t="s">
        <v>4</v>
      </c>
      <c r="B3" s="11" t="s">
        <v>5</v>
      </c>
      <c r="C3" s="11" t="s">
        <v>6</v>
      </c>
      <c r="D3" s="11" t="s">
        <v>7</v>
      </c>
      <c r="E3" s="11" t="s">
        <v>8</v>
      </c>
      <c r="F3" s="11" t="s">
        <v>9</v>
      </c>
      <c r="G3" s="11" t="s">
        <v>10</v>
      </c>
      <c r="H3" s="11" t="s">
        <v>11</v>
      </c>
      <c r="I3" s="11" t="s">
        <v>12</v>
      </c>
      <c r="J3" s="11" t="s">
        <v>9</v>
      </c>
      <c r="K3" s="11" t="s">
        <v>10</v>
      </c>
      <c r="L3" s="11" t="s">
        <v>11</v>
      </c>
      <c r="M3" s="11" t="s">
        <v>12</v>
      </c>
      <c r="N3" s="11" t="s">
        <v>17</v>
      </c>
    </row>
    <row r="4" spans="1:14" ht="15" x14ac:dyDescent="0.2">
      <c r="A4" s="12" t="s">
        <v>19</v>
      </c>
      <c r="B4" s="13" t="s">
        <v>20</v>
      </c>
      <c r="C4" s="14">
        <v>7</v>
      </c>
      <c r="D4" s="14">
        <v>104.42857360839844</v>
      </c>
      <c r="E4" s="14">
        <v>716.00537109375</v>
      </c>
      <c r="F4" s="15">
        <v>2.6434324748556652</v>
      </c>
      <c r="G4" s="15">
        <v>4.2544979158695755</v>
      </c>
      <c r="H4" s="15">
        <v>4.8578114258197971</v>
      </c>
      <c r="I4" s="15">
        <v>0.15931418026390573</v>
      </c>
      <c r="J4" s="16" t="s">
        <v>21</v>
      </c>
      <c r="K4" s="16" t="s">
        <v>21</v>
      </c>
      <c r="L4" s="16" t="s">
        <v>22</v>
      </c>
      <c r="M4" s="16" t="s">
        <v>21</v>
      </c>
      <c r="N4" s="17">
        <v>2.7150407091747777E-2</v>
      </c>
    </row>
    <row r="5" spans="1:14" ht="15" x14ac:dyDescent="0.2">
      <c r="A5" s="12" t="s">
        <v>129</v>
      </c>
      <c r="B5" s="13" t="s">
        <v>102</v>
      </c>
      <c r="C5" s="14">
        <v>25</v>
      </c>
      <c r="D5" s="14">
        <v>125.36000061035156</v>
      </c>
      <c r="E5" s="14">
        <v>3628.15283203125</v>
      </c>
      <c r="F5" s="15">
        <v>2.9281541496958452</v>
      </c>
      <c r="G5" s="15">
        <v>5.0978759853637552</v>
      </c>
      <c r="H5" s="15">
        <v>4.8485266418841046</v>
      </c>
      <c r="I5" s="15">
        <v>1.0750496888623651</v>
      </c>
      <c r="J5" s="16" t="s">
        <v>130</v>
      </c>
      <c r="K5" s="16" t="s">
        <v>22</v>
      </c>
      <c r="L5" s="16" t="s">
        <v>130</v>
      </c>
      <c r="M5" s="16" t="s">
        <v>21</v>
      </c>
      <c r="N5" s="17">
        <v>7.1697816379953289E-2</v>
      </c>
    </row>
    <row r="6" spans="1:14" ht="15" x14ac:dyDescent="0.2">
      <c r="A6" s="12" t="s">
        <v>148</v>
      </c>
      <c r="B6" s="13" t="s">
        <v>102</v>
      </c>
      <c r="C6" s="14">
        <v>31</v>
      </c>
      <c r="D6" s="14">
        <v>102.90322875976563</v>
      </c>
      <c r="E6" s="14">
        <v>2252.161865234375</v>
      </c>
      <c r="F6" s="15">
        <v>3.866923438686745</v>
      </c>
      <c r="G6" s="15">
        <v>6.8152216061212103</v>
      </c>
      <c r="H6" s="15">
        <v>5.6613736130190278</v>
      </c>
      <c r="I6" s="15">
        <v>2.1549112750089039</v>
      </c>
      <c r="J6" s="16" t="s">
        <v>130</v>
      </c>
      <c r="K6" s="16" t="s">
        <v>149</v>
      </c>
      <c r="L6" s="16" t="s">
        <v>130</v>
      </c>
      <c r="M6" s="16" t="s">
        <v>21</v>
      </c>
      <c r="N6" s="17">
        <v>9.9615983934235916E-2</v>
      </c>
    </row>
    <row r="7" spans="1:14" ht="15" x14ac:dyDescent="0.2">
      <c r="A7" s="12" t="s">
        <v>163</v>
      </c>
      <c r="B7" s="13" t="s">
        <v>143</v>
      </c>
      <c r="C7" s="14">
        <v>12</v>
      </c>
      <c r="D7" s="14">
        <v>274.41665649414063</v>
      </c>
      <c r="E7" s="14">
        <v>6248.59765625</v>
      </c>
      <c r="F7" s="15">
        <v>3.1362995361500929</v>
      </c>
      <c r="G7" s="15">
        <v>7.7460043435579893</v>
      </c>
      <c r="H7" s="15">
        <v>7.573220164907263</v>
      </c>
      <c r="I7" s="15">
        <v>0.23087148502270546</v>
      </c>
      <c r="J7" s="16" t="s">
        <v>22</v>
      </c>
      <c r="K7" s="16" t="s">
        <v>22</v>
      </c>
      <c r="L7" s="16" t="s">
        <v>21</v>
      </c>
      <c r="M7" s="16" t="s">
        <v>21</v>
      </c>
      <c r="N7" s="17">
        <v>7.9672472447006024E-2</v>
      </c>
    </row>
    <row r="8" spans="1:14" ht="15" x14ac:dyDescent="0.2">
      <c r="A8" s="12" t="s">
        <v>180</v>
      </c>
      <c r="B8" s="13" t="s">
        <v>103</v>
      </c>
      <c r="C8" s="14">
        <v>48</v>
      </c>
      <c r="D8" s="14">
        <v>127.16666412353516</v>
      </c>
      <c r="E8" s="14">
        <v>4182.3232421875</v>
      </c>
      <c r="F8" s="15">
        <v>3.2917524396437527</v>
      </c>
      <c r="G8" s="15">
        <v>5.7085954161489578</v>
      </c>
      <c r="H8" s="15">
        <v>5.2173286446012028</v>
      </c>
      <c r="I8" s="15">
        <v>1.0532508746915974</v>
      </c>
      <c r="J8" s="16" t="s">
        <v>22</v>
      </c>
      <c r="K8" s="16" t="s">
        <v>22</v>
      </c>
      <c r="L8" s="16" t="s">
        <v>22</v>
      </c>
      <c r="M8" s="16" t="s">
        <v>21</v>
      </c>
      <c r="N8" s="17">
        <v>-0.4048960885100984</v>
      </c>
    </row>
    <row r="9" spans="1:14" ht="15" x14ac:dyDescent="0.2">
      <c r="A9" s="12" t="s">
        <v>197</v>
      </c>
      <c r="B9" s="13" t="s">
        <v>143</v>
      </c>
      <c r="C9" s="14">
        <v>26</v>
      </c>
      <c r="D9" s="14">
        <v>160.07691955566406</v>
      </c>
      <c r="E9" s="14">
        <v>7805.611328125</v>
      </c>
      <c r="F9" s="15">
        <v>4.661889602591506</v>
      </c>
      <c r="G9" s="15">
        <v>8.1019744316613664</v>
      </c>
      <c r="H9" s="15">
        <v>7.3807021372499984</v>
      </c>
      <c r="I9" s="15">
        <v>0.82091038270498262</v>
      </c>
      <c r="J9" s="16" t="s">
        <v>130</v>
      </c>
      <c r="K9" s="16" t="s">
        <v>130</v>
      </c>
      <c r="L9" s="16" t="s">
        <v>130</v>
      </c>
      <c r="M9" s="16" t="s">
        <v>21</v>
      </c>
      <c r="N9" s="17">
        <v>0.49287986351187146</v>
      </c>
    </row>
    <row r="10" spans="1:14" ht="15" x14ac:dyDescent="0.2">
      <c r="A10" s="12" t="s">
        <v>214</v>
      </c>
      <c r="B10" s="13" t="s">
        <v>99</v>
      </c>
      <c r="C10" s="14">
        <v>26</v>
      </c>
      <c r="D10" s="14">
        <v>146.88461303710938</v>
      </c>
      <c r="E10" s="14">
        <v>3605.552001953125</v>
      </c>
      <c r="F10" s="15">
        <v>2.3381308460564778</v>
      </c>
      <c r="G10" s="15">
        <v>4.7039239317573989</v>
      </c>
      <c r="H10" s="15">
        <v>4.8908488770299359</v>
      </c>
      <c r="I10" s="15">
        <v>-1.5469277086076594E-2</v>
      </c>
      <c r="J10" s="16" t="s">
        <v>22</v>
      </c>
      <c r="K10" s="16" t="s">
        <v>21</v>
      </c>
      <c r="L10" s="16" t="s">
        <v>21</v>
      </c>
      <c r="M10" s="16" t="s">
        <v>21</v>
      </c>
      <c r="N10" s="17">
        <v>-0.42721104869807608</v>
      </c>
    </row>
    <row r="11" spans="1:14" ht="15" x14ac:dyDescent="0.2">
      <c r="A11" s="12" t="s">
        <v>232</v>
      </c>
      <c r="B11" s="13" t="s">
        <v>102</v>
      </c>
      <c r="C11" s="14">
        <v>51</v>
      </c>
      <c r="D11" s="14">
        <v>21.647058486938477</v>
      </c>
      <c r="E11" s="14">
        <v>90.239799499511719</v>
      </c>
      <c r="F11" s="15">
        <v>0.57403356389259674</v>
      </c>
      <c r="G11" s="15">
        <v>1.3562740469550694</v>
      </c>
      <c r="H11" s="15">
        <v>2.7752000525283669</v>
      </c>
      <c r="I11" s="15">
        <v>0.32792718326372716</v>
      </c>
      <c r="J11" s="16" t="s">
        <v>21</v>
      </c>
      <c r="K11" s="16" t="s">
        <v>21</v>
      </c>
      <c r="L11" s="16" t="s">
        <v>21</v>
      </c>
      <c r="M11" s="16" t="s">
        <v>21</v>
      </c>
      <c r="N11" s="17">
        <v>-0.71872358309925866</v>
      </c>
    </row>
    <row r="12" spans="1:14" ht="15" x14ac:dyDescent="0.2">
      <c r="A12" s="12" t="s">
        <v>251</v>
      </c>
      <c r="B12" s="13" t="s">
        <v>245</v>
      </c>
      <c r="C12" s="14">
        <v>1500</v>
      </c>
      <c r="D12" s="14">
        <v>17.898666381835938</v>
      </c>
      <c r="E12" s="14">
        <v>1690.760498046875</v>
      </c>
      <c r="F12" s="15">
        <v>1.7048441353444541</v>
      </c>
      <c r="G12" s="15">
        <v>5.0929468766717729</v>
      </c>
      <c r="H12" s="15">
        <v>6.8905450621213049</v>
      </c>
      <c r="I12" s="15">
        <v>0.73207810616911151</v>
      </c>
      <c r="J12" s="16" t="s">
        <v>22</v>
      </c>
      <c r="K12" s="16" t="s">
        <v>130</v>
      </c>
      <c r="L12" s="16" t="s">
        <v>130</v>
      </c>
      <c r="M12" s="16" t="s">
        <v>21</v>
      </c>
      <c r="N12" s="17">
        <v>-0.11425863489755489</v>
      </c>
    </row>
    <row r="13" spans="1:14" ht="15" x14ac:dyDescent="0.2">
      <c r="A13" s="12" t="s">
        <v>266</v>
      </c>
      <c r="B13" s="13" t="s">
        <v>128</v>
      </c>
      <c r="C13" s="14">
        <v>7</v>
      </c>
      <c r="D13" s="14">
        <v>242.85714721679688</v>
      </c>
      <c r="E13" s="14">
        <v>3054.88330078125</v>
      </c>
      <c r="F13" s="15">
        <v>1.2132909662062246</v>
      </c>
      <c r="G13" s="15">
        <v>1.9795905654540025</v>
      </c>
      <c r="H13" s="15">
        <v>2.9533913039663107</v>
      </c>
      <c r="I13" s="15">
        <v>-0.91343314132627262</v>
      </c>
      <c r="J13" s="16" t="s">
        <v>22</v>
      </c>
      <c r="K13" s="16" t="s">
        <v>21</v>
      </c>
      <c r="L13" s="16" t="s">
        <v>22</v>
      </c>
      <c r="M13" s="16" t="s">
        <v>21</v>
      </c>
      <c r="N13" s="17">
        <v>-0.67200067779385686</v>
      </c>
    </row>
    <row r="14" spans="1:14" ht="15" x14ac:dyDescent="0.2">
      <c r="A14" s="12" t="s">
        <v>280</v>
      </c>
      <c r="B14" s="13" t="s">
        <v>246</v>
      </c>
      <c r="C14" s="14">
        <v>20</v>
      </c>
      <c r="D14" s="14">
        <v>79.050003051757813</v>
      </c>
      <c r="E14" s="14">
        <v>875.04718017578125</v>
      </c>
      <c r="F14" s="15">
        <v>2.834867979398076</v>
      </c>
      <c r="G14" s="15">
        <v>6.0091037377868393</v>
      </c>
      <c r="H14" s="15">
        <v>9.3400859450148808</v>
      </c>
      <c r="I14" s="15">
        <v>-2.786107719928641</v>
      </c>
      <c r="J14" s="16" t="s">
        <v>21</v>
      </c>
      <c r="K14" s="16" t="s">
        <v>21</v>
      </c>
      <c r="L14" s="16" t="s">
        <v>21</v>
      </c>
      <c r="M14" s="16" t="s">
        <v>21</v>
      </c>
      <c r="N14" s="17">
        <v>-0.37378960316290477</v>
      </c>
    </row>
    <row r="15" spans="1:14" ht="15" x14ac:dyDescent="0.2">
      <c r="A15" s="12" t="s">
        <v>291</v>
      </c>
      <c r="B15" s="13" t="s">
        <v>102</v>
      </c>
      <c r="C15" s="14">
        <v>53</v>
      </c>
      <c r="D15" s="14">
        <v>166.88679504394531</v>
      </c>
      <c r="E15" s="14">
        <v>12171.5302734375</v>
      </c>
      <c r="F15" s="15">
        <v>3.1318263902879844</v>
      </c>
      <c r="G15" s="15">
        <v>6.0209799187579236</v>
      </c>
      <c r="H15" s="15">
        <v>6.5960063619996463</v>
      </c>
      <c r="I15" s="15">
        <v>-7.1216980690330719E-3</v>
      </c>
      <c r="J15" s="16" t="s">
        <v>130</v>
      </c>
      <c r="K15" s="16" t="s">
        <v>22</v>
      </c>
      <c r="L15" s="16" t="s">
        <v>130</v>
      </c>
      <c r="M15" s="16" t="s">
        <v>21</v>
      </c>
      <c r="N15" s="17">
        <v>0.27943270457697317</v>
      </c>
    </row>
    <row r="16" spans="1:14" ht="15" x14ac:dyDescent="0.2">
      <c r="A16" s="12" t="s">
        <v>304</v>
      </c>
      <c r="B16" s="13" t="s">
        <v>102</v>
      </c>
      <c r="C16" s="14">
        <v>68</v>
      </c>
      <c r="D16" s="14">
        <v>98.779411315917969</v>
      </c>
      <c r="E16" s="14">
        <v>3062.019775390625</v>
      </c>
      <c r="F16" s="15">
        <v>2.4588692636102594</v>
      </c>
      <c r="G16" s="15">
        <v>5.4016227643476471</v>
      </c>
      <c r="H16" s="15">
        <v>5.5845919081911015</v>
      </c>
      <c r="I16" s="15">
        <v>1.1139065260603651</v>
      </c>
      <c r="J16" s="16" t="s">
        <v>149</v>
      </c>
      <c r="K16" s="16" t="s">
        <v>22</v>
      </c>
      <c r="L16" s="16" t="s">
        <v>22</v>
      </c>
      <c r="M16" s="16" t="s">
        <v>21</v>
      </c>
      <c r="N16" s="17">
        <v>-3.337278497028353E-2</v>
      </c>
    </row>
    <row r="17" spans="1:14" ht="15" x14ac:dyDescent="0.2">
      <c r="A17" s="12" t="s">
        <v>316</v>
      </c>
      <c r="B17" s="13" t="s">
        <v>20</v>
      </c>
      <c r="C17" s="14">
        <v>41</v>
      </c>
      <c r="D17" s="14">
        <v>193.26829528808594</v>
      </c>
      <c r="E17" s="14">
        <v>34542.6328125</v>
      </c>
      <c r="F17" s="15">
        <v>5.2905801769286063</v>
      </c>
      <c r="G17" s="15">
        <v>9.5153490013185191</v>
      </c>
      <c r="H17" s="15">
        <v>8.8575004086643521</v>
      </c>
      <c r="I17" s="15">
        <v>1.163658543812645</v>
      </c>
      <c r="J17" s="16" t="s">
        <v>130</v>
      </c>
      <c r="K17" s="16" t="s">
        <v>130</v>
      </c>
      <c r="L17" s="16" t="s">
        <v>130</v>
      </c>
      <c r="M17" s="16" t="s">
        <v>21</v>
      </c>
      <c r="N17" s="17">
        <v>0.25220489333861601</v>
      </c>
    </row>
    <row r="18" spans="1:14" ht="15" x14ac:dyDescent="0.2">
      <c r="A18" s="12" t="s">
        <v>329</v>
      </c>
      <c r="B18" s="13" t="s">
        <v>20</v>
      </c>
      <c r="C18" s="14">
        <v>27</v>
      </c>
      <c r="D18" s="14">
        <v>200.44444274902344</v>
      </c>
      <c r="E18" s="14">
        <v>26615.669921875</v>
      </c>
      <c r="F18" s="15">
        <v>9.2658685066931881</v>
      </c>
      <c r="G18" s="15">
        <v>15.143926459939095</v>
      </c>
      <c r="H18" s="15">
        <v>12.866056372449487</v>
      </c>
      <c r="I18" s="15">
        <v>2.4996080412099047</v>
      </c>
      <c r="J18" s="16" t="s">
        <v>130</v>
      </c>
      <c r="K18" s="16" t="s">
        <v>130</v>
      </c>
      <c r="L18" s="16" t="s">
        <v>130</v>
      </c>
      <c r="M18" s="16" t="s">
        <v>21</v>
      </c>
      <c r="N18" s="17">
        <v>0.16987414520090668</v>
      </c>
    </row>
    <row r="19" spans="1:14" ht="15" x14ac:dyDescent="0.2">
      <c r="A19" s="12" t="s">
        <v>341</v>
      </c>
      <c r="B19" s="13" t="s">
        <v>20</v>
      </c>
      <c r="C19" s="14">
        <v>21</v>
      </c>
      <c r="D19" s="14">
        <v>189.14285278320313</v>
      </c>
      <c r="E19" s="14">
        <v>14241.0166015625</v>
      </c>
      <c r="F19" s="15">
        <v>4.639421688043587</v>
      </c>
      <c r="G19" s="15">
        <v>7.5019091123757882</v>
      </c>
      <c r="H19" s="15">
        <v>7.7692099655890505</v>
      </c>
      <c r="I19" s="15">
        <v>0.21476255525062826</v>
      </c>
      <c r="J19" s="16" t="s">
        <v>21</v>
      </c>
      <c r="K19" s="16" t="s">
        <v>21</v>
      </c>
      <c r="L19" s="16" t="s">
        <v>22</v>
      </c>
      <c r="M19" s="16" t="s">
        <v>21</v>
      </c>
      <c r="N19" s="17">
        <v>-0.53969734047716056</v>
      </c>
    </row>
    <row r="20" spans="1:14" ht="15" x14ac:dyDescent="0.2">
      <c r="A20" s="12" t="s">
        <v>354</v>
      </c>
      <c r="B20" s="13" t="s">
        <v>143</v>
      </c>
      <c r="C20" s="14">
        <v>41</v>
      </c>
      <c r="D20" s="14">
        <v>176.68292236328125</v>
      </c>
      <c r="E20" s="14">
        <v>16844.87109375</v>
      </c>
      <c r="F20" s="15">
        <v>4.7199501483194943</v>
      </c>
      <c r="G20" s="15">
        <v>9.6504691421316391</v>
      </c>
      <c r="H20" s="15">
        <v>8.8309243027130382</v>
      </c>
      <c r="I20" s="15">
        <v>1.6006265041295744</v>
      </c>
      <c r="J20" s="16" t="s">
        <v>130</v>
      </c>
      <c r="K20" s="16" t="s">
        <v>130</v>
      </c>
      <c r="L20" s="16" t="s">
        <v>22</v>
      </c>
      <c r="M20" s="16" t="s">
        <v>21</v>
      </c>
      <c r="N20" s="17">
        <v>3.4310442629018112E-2</v>
      </c>
    </row>
    <row r="21" spans="1:14" ht="15" x14ac:dyDescent="0.2">
      <c r="A21" s="12" t="s">
        <v>367</v>
      </c>
      <c r="B21" s="13" t="s">
        <v>143</v>
      </c>
      <c r="C21" s="14">
        <v>12</v>
      </c>
      <c r="D21" s="14">
        <v>134.16667175292969</v>
      </c>
      <c r="E21" s="14">
        <v>1594.2882080078125</v>
      </c>
      <c r="F21" s="15">
        <v>3.8839985959231096</v>
      </c>
      <c r="G21" s="15">
        <v>8.1107753601449666</v>
      </c>
      <c r="H21" s="15">
        <v>7.9415935303462302</v>
      </c>
      <c r="I21" s="15">
        <v>1.8649716603776645</v>
      </c>
      <c r="J21" s="16" t="s">
        <v>21</v>
      </c>
      <c r="K21" s="16" t="s">
        <v>21</v>
      </c>
      <c r="L21" s="16" t="s">
        <v>21</v>
      </c>
      <c r="M21" s="16" t="s">
        <v>21</v>
      </c>
      <c r="N21" s="17">
        <v>-0.34142196829729998</v>
      </c>
    </row>
    <row r="22" spans="1:14" ht="15" x14ac:dyDescent="0.2">
      <c r="A22" s="12" t="s">
        <v>380</v>
      </c>
      <c r="B22" s="13" t="s">
        <v>245</v>
      </c>
      <c r="C22" s="14">
        <v>178</v>
      </c>
      <c r="D22" s="14">
        <v>134.92134094238281</v>
      </c>
      <c r="E22" s="14">
        <v>8646.685546875</v>
      </c>
      <c r="F22" s="15">
        <v>2.4240050097617618</v>
      </c>
      <c r="G22" s="15">
        <v>6.6837581964053596</v>
      </c>
      <c r="H22" s="15">
        <v>5.2177446431893824</v>
      </c>
      <c r="I22" s="15">
        <v>2.2362890179303174</v>
      </c>
      <c r="J22" s="16" t="s">
        <v>22</v>
      </c>
      <c r="K22" s="16" t="s">
        <v>130</v>
      </c>
      <c r="L22" s="16" t="s">
        <v>130</v>
      </c>
      <c r="M22" s="16" t="s">
        <v>21</v>
      </c>
      <c r="N22" s="17">
        <v>-5.3332226132056536E-2</v>
      </c>
    </row>
    <row r="23" spans="1:14" ht="15" x14ac:dyDescent="0.2">
      <c r="A23" s="12" t="s">
        <v>393</v>
      </c>
      <c r="B23" s="13" t="s">
        <v>104</v>
      </c>
      <c r="C23" s="14">
        <v>109</v>
      </c>
      <c r="D23" s="14">
        <v>176.1192626953125</v>
      </c>
      <c r="E23" s="14">
        <v>23359.359375</v>
      </c>
      <c r="F23" s="15">
        <v>4.8527414034923382</v>
      </c>
      <c r="G23" s="15">
        <v>9.2278951873939565</v>
      </c>
      <c r="H23" s="15">
        <v>8.1311115521969342</v>
      </c>
      <c r="I23" s="15">
        <v>1.9812859904361035</v>
      </c>
      <c r="J23" s="16" t="s">
        <v>22</v>
      </c>
      <c r="K23" s="16" t="s">
        <v>130</v>
      </c>
      <c r="L23" s="16" t="s">
        <v>130</v>
      </c>
      <c r="M23" s="16" t="s">
        <v>21</v>
      </c>
      <c r="N23" s="17">
        <v>-0.10327026792716426</v>
      </c>
    </row>
    <row r="24" spans="1:14" ht="15" x14ac:dyDescent="0.2">
      <c r="A24" s="12" t="s">
        <v>404</v>
      </c>
      <c r="B24" s="13" t="s">
        <v>144</v>
      </c>
      <c r="C24" s="14">
        <v>24</v>
      </c>
      <c r="D24" s="14">
        <v>212.83332824707031</v>
      </c>
      <c r="E24" s="14">
        <v>6722.15234375</v>
      </c>
      <c r="F24" s="15">
        <v>2.109572295360203</v>
      </c>
      <c r="G24" s="15">
        <v>6.7970526752335116</v>
      </c>
      <c r="H24" s="15">
        <v>6.6788357152767821</v>
      </c>
      <c r="I24" s="15">
        <v>0.12135771011916327</v>
      </c>
      <c r="J24" s="16" t="s">
        <v>22</v>
      </c>
      <c r="K24" s="16" t="s">
        <v>130</v>
      </c>
      <c r="L24" s="16" t="s">
        <v>130</v>
      </c>
      <c r="M24" s="16" t="s">
        <v>21</v>
      </c>
      <c r="N24" s="17">
        <v>2.5565294341514087E-2</v>
      </c>
    </row>
    <row r="25" spans="1:14" ht="15" x14ac:dyDescent="0.2">
      <c r="A25" s="12" t="s">
        <v>417</v>
      </c>
      <c r="B25" s="13" t="s">
        <v>144</v>
      </c>
      <c r="C25" s="14">
        <v>25</v>
      </c>
      <c r="D25" s="14">
        <v>198.80000305175781</v>
      </c>
      <c r="E25" s="14">
        <v>4227.32666015625</v>
      </c>
      <c r="F25" s="15">
        <v>3.8762114749103653</v>
      </c>
      <c r="G25" s="15">
        <v>12.677967971517502</v>
      </c>
      <c r="H25" s="15">
        <v>10.344294568374828</v>
      </c>
      <c r="I25" s="15">
        <v>2.5355619311649096</v>
      </c>
      <c r="J25" s="16" t="s">
        <v>22</v>
      </c>
      <c r="K25" s="16" t="s">
        <v>130</v>
      </c>
      <c r="L25" s="16" t="s">
        <v>22</v>
      </c>
      <c r="M25" s="16" t="s">
        <v>21</v>
      </c>
      <c r="N25" s="17">
        <v>2.0208155289733005E-3</v>
      </c>
    </row>
    <row r="26" spans="1:14" ht="15" x14ac:dyDescent="0.2">
      <c r="A26" s="12" t="s">
        <v>430</v>
      </c>
      <c r="B26" s="13" t="s">
        <v>100</v>
      </c>
      <c r="C26" s="14">
        <v>69</v>
      </c>
      <c r="D26" s="14">
        <v>135.81159973144531</v>
      </c>
      <c r="E26" s="14">
        <v>16795.6796875</v>
      </c>
      <c r="F26" s="15">
        <v>4.1249343774914333</v>
      </c>
      <c r="G26" s="15">
        <v>6.7358875798946753</v>
      </c>
      <c r="H26" s="15">
        <v>6.1277165314821893</v>
      </c>
      <c r="I26" s="15">
        <v>1.0074894927861453</v>
      </c>
      <c r="J26" s="16" t="s">
        <v>21</v>
      </c>
      <c r="K26" s="16" t="s">
        <v>22</v>
      </c>
      <c r="L26" s="16" t="s">
        <v>149</v>
      </c>
      <c r="M26" s="16" t="s">
        <v>21</v>
      </c>
      <c r="N26" s="17">
        <v>-0.40942597533200836</v>
      </c>
    </row>
    <row r="27" spans="1:14" ht="15" x14ac:dyDescent="0.2">
      <c r="A27" s="12" t="s">
        <v>443</v>
      </c>
      <c r="B27" s="13" t="s">
        <v>100</v>
      </c>
      <c r="C27" s="14">
        <v>156</v>
      </c>
      <c r="D27" s="14">
        <v>83.788459777832031</v>
      </c>
      <c r="E27" s="14">
        <v>15817.2958984375</v>
      </c>
      <c r="F27" s="15">
        <v>7.8399621634721637</v>
      </c>
      <c r="G27" s="15">
        <v>10.389312992662434</v>
      </c>
      <c r="H27" s="15">
        <v>9.0121754367762943</v>
      </c>
      <c r="I27" s="15">
        <v>2.4069352916484594</v>
      </c>
      <c r="J27" s="16" t="s">
        <v>22</v>
      </c>
      <c r="K27" s="16" t="s">
        <v>130</v>
      </c>
      <c r="L27" s="16" t="s">
        <v>130</v>
      </c>
      <c r="M27" s="16" t="s">
        <v>21</v>
      </c>
      <c r="N27" s="17">
        <v>-0.10510256078514334</v>
      </c>
    </row>
    <row r="28" spans="1:14" ht="15" x14ac:dyDescent="0.2">
      <c r="A28" s="12" t="s">
        <v>458</v>
      </c>
      <c r="B28" s="13" t="s">
        <v>102</v>
      </c>
      <c r="C28" s="14">
        <v>172</v>
      </c>
      <c r="D28" s="14">
        <v>69.081398010253906</v>
      </c>
      <c r="E28" s="14">
        <v>3867.735595703125</v>
      </c>
      <c r="F28" s="15">
        <v>2.6325882517044672</v>
      </c>
      <c r="G28" s="15">
        <v>6.0396724624379283</v>
      </c>
      <c r="H28" s="15">
        <v>4.6851036308230674</v>
      </c>
      <c r="I28" s="15">
        <v>2.2216711586352007</v>
      </c>
      <c r="J28" s="16" t="s">
        <v>130</v>
      </c>
      <c r="K28" s="16" t="s">
        <v>130</v>
      </c>
      <c r="L28" s="16" t="s">
        <v>149</v>
      </c>
      <c r="M28" s="16" t="s">
        <v>21</v>
      </c>
      <c r="N28" s="17">
        <v>0.28312723878128043</v>
      </c>
    </row>
    <row r="29" spans="1:14" ht="15" x14ac:dyDescent="0.2">
      <c r="A29" s="12" t="s">
        <v>470</v>
      </c>
      <c r="B29" s="13" t="s">
        <v>144</v>
      </c>
      <c r="C29" s="14">
        <v>177</v>
      </c>
      <c r="D29" s="14">
        <v>63.604518890380859</v>
      </c>
      <c r="E29" s="14">
        <v>3274.14111328125</v>
      </c>
      <c r="F29" s="15">
        <v>3.7220953638239056</v>
      </c>
      <c r="G29" s="15">
        <v>8.2865140703610898</v>
      </c>
      <c r="H29" s="15">
        <v>5.7781995986086594</v>
      </c>
      <c r="I29" s="15">
        <v>4.1594129040035677</v>
      </c>
      <c r="J29" s="16" t="s">
        <v>130</v>
      </c>
      <c r="K29" s="16" t="s">
        <v>130</v>
      </c>
      <c r="L29" s="16" t="s">
        <v>130</v>
      </c>
      <c r="M29" s="16" t="s">
        <v>21</v>
      </c>
      <c r="N29" s="17">
        <v>-1.1115080763587045E-2</v>
      </c>
    </row>
    <row r="30" spans="1:14" ht="15" x14ac:dyDescent="0.2">
      <c r="A30" s="12" t="s">
        <v>483</v>
      </c>
      <c r="B30" s="13" t="s">
        <v>245</v>
      </c>
      <c r="C30" s="14">
        <v>1087</v>
      </c>
      <c r="D30" s="14">
        <v>76.524375915527344</v>
      </c>
      <c r="E30" s="14">
        <v>21315.19921875</v>
      </c>
      <c r="F30" s="15">
        <v>2.8002414689489772</v>
      </c>
      <c r="G30" s="15">
        <v>8.5472284194698851</v>
      </c>
      <c r="H30" s="15">
        <v>7.000908970977358</v>
      </c>
      <c r="I30" s="15">
        <v>2.8352341583428</v>
      </c>
      <c r="J30" s="16" t="s">
        <v>130</v>
      </c>
      <c r="K30" s="16" t="s">
        <v>21</v>
      </c>
      <c r="L30" s="16" t="s">
        <v>130</v>
      </c>
      <c r="M30" s="16" t="s">
        <v>21</v>
      </c>
      <c r="N30" s="17">
        <v>0.14075612246854213</v>
      </c>
    </row>
    <row r="31" spans="1:14" ht="15" x14ac:dyDescent="0.2">
      <c r="A31" s="12" t="s">
        <v>495</v>
      </c>
      <c r="B31" s="13" t="s">
        <v>162</v>
      </c>
      <c r="C31" s="14">
        <v>201</v>
      </c>
      <c r="D31" s="14">
        <v>51.646766662597656</v>
      </c>
      <c r="E31" s="14">
        <v>2092.073486328125</v>
      </c>
      <c r="F31" s="15">
        <v>3.101523113156313</v>
      </c>
      <c r="G31" s="15">
        <v>10.856151251154273</v>
      </c>
      <c r="H31" s="15">
        <v>8.7767454282138502</v>
      </c>
      <c r="I31" s="15">
        <v>3.8514164499983887</v>
      </c>
      <c r="J31" s="16" t="s">
        <v>130</v>
      </c>
      <c r="K31" s="16" t="s">
        <v>130</v>
      </c>
      <c r="L31" s="16" t="s">
        <v>21</v>
      </c>
      <c r="M31" s="16" t="s">
        <v>21</v>
      </c>
      <c r="N31" s="17">
        <v>0.1985804497902402</v>
      </c>
    </row>
    <row r="32" spans="1:14" ht="15" x14ac:dyDescent="0.2">
      <c r="A32" s="12" t="s">
        <v>507</v>
      </c>
      <c r="B32" s="13" t="s">
        <v>102</v>
      </c>
      <c r="C32" s="14">
        <v>27</v>
      </c>
      <c r="D32" s="14">
        <v>141.51852416992188</v>
      </c>
      <c r="E32" s="14">
        <v>2671.04248046875</v>
      </c>
      <c r="F32" s="15">
        <v>2.2726202738731365</v>
      </c>
      <c r="G32" s="15">
        <v>4.5055088436372852</v>
      </c>
      <c r="H32" s="15">
        <v>4.6261223588034088</v>
      </c>
      <c r="I32" s="15">
        <v>0.43371956289633318</v>
      </c>
      <c r="J32" s="16" t="s">
        <v>22</v>
      </c>
      <c r="K32" s="16" t="s">
        <v>22</v>
      </c>
      <c r="L32" s="16" t="s">
        <v>22</v>
      </c>
      <c r="M32" s="16" t="s">
        <v>21</v>
      </c>
      <c r="N32" s="17">
        <v>-8.2996906619075411E-2</v>
      </c>
    </row>
    <row r="33" spans="1:14" ht="15" x14ac:dyDescent="0.2">
      <c r="A33" s="12" t="s">
        <v>518</v>
      </c>
      <c r="B33" s="13" t="s">
        <v>102</v>
      </c>
      <c r="C33" s="14">
        <v>53</v>
      </c>
      <c r="D33" s="14">
        <v>129.132080078125</v>
      </c>
      <c r="E33" s="14">
        <v>2634.65478515625</v>
      </c>
      <c r="F33" s="15">
        <v>2.2694035087478786</v>
      </c>
      <c r="G33" s="15">
        <v>5.0570512669618379</v>
      </c>
      <c r="H33" s="15">
        <v>4.7791176438069272</v>
      </c>
      <c r="I33" s="15">
        <v>0.81335094518356199</v>
      </c>
      <c r="J33" s="16" t="s">
        <v>130</v>
      </c>
      <c r="K33" s="16" t="s">
        <v>22</v>
      </c>
      <c r="L33" s="16" t="s">
        <v>22</v>
      </c>
      <c r="M33" s="16" t="s">
        <v>21</v>
      </c>
      <c r="N33" s="17">
        <v>0.15931839569864473</v>
      </c>
    </row>
  </sheetData>
  <mergeCells count="1">
    <mergeCell ref="M1:N1"/>
  </mergeCells>
  <hyperlinks>
    <hyperlink ref="M1:N1" location="Home_page" display="Back to_x000a_home page" xr:uid="{DEBBC7C4-A620-4C6B-9708-8785F2E8D5B2}"/>
  </hyperlinks>
  <pageMargins left="0.7" right="0.7" top="0.75" bottom="0.75" header="0.3" footer="0.3"/>
  <pageSetup paperSize="9" scale="74"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1B753-D936-46D9-8336-A894A0A3AA57}">
  <sheetPr codeName="Feuil5">
    <pageSetUpPr fitToPage="1"/>
  </sheetPr>
  <dimension ref="A1:N33"/>
  <sheetViews>
    <sheetView workbookViewId="0"/>
  </sheetViews>
  <sheetFormatPr defaultColWidth="8.625" defaultRowHeight="12.75" x14ac:dyDescent="0.2"/>
  <cols>
    <col min="1" max="1" width="26.125" style="18" customWidth="1"/>
    <col min="2" max="2" width="12.125" style="7" customWidth="1"/>
    <col min="3" max="3" width="8.625" style="7"/>
    <col min="4" max="14" width="10.125" style="7" customWidth="1"/>
    <col min="15" max="16384" width="8.625" style="2"/>
  </cols>
  <sheetData>
    <row r="1" spans="1:14" ht="32.25" customHeight="1" x14ac:dyDescent="0.2">
      <c r="A1" s="5" t="s">
        <v>2</v>
      </c>
      <c r="B1" s="6"/>
      <c r="C1" s="6"/>
      <c r="D1" s="6"/>
      <c r="E1" s="6"/>
      <c r="F1" s="6"/>
      <c r="G1" s="6"/>
      <c r="H1" s="6"/>
      <c r="M1" s="186" t="s">
        <v>3</v>
      </c>
      <c r="N1" s="186"/>
    </row>
    <row r="2" spans="1:14" x14ac:dyDescent="0.2">
      <c r="A2" s="8" t="s">
        <v>13</v>
      </c>
      <c r="B2" s="6"/>
      <c r="C2" s="6"/>
      <c r="D2" s="6"/>
      <c r="E2" s="6"/>
      <c r="F2" s="6"/>
      <c r="G2" s="6"/>
      <c r="H2" s="6"/>
      <c r="K2" s="9"/>
      <c r="L2" s="9"/>
    </row>
    <row r="3" spans="1:14" ht="64.5" thickBot="1" x14ac:dyDescent="0.25">
      <c r="A3" s="10" t="s">
        <v>4</v>
      </c>
      <c r="B3" s="11" t="s">
        <v>5</v>
      </c>
      <c r="C3" s="11" t="s">
        <v>6</v>
      </c>
      <c r="D3" s="11" t="s">
        <v>7</v>
      </c>
      <c r="E3" s="11" t="s">
        <v>8</v>
      </c>
      <c r="F3" s="11" t="s">
        <v>9</v>
      </c>
      <c r="G3" s="11" t="s">
        <v>10</v>
      </c>
      <c r="H3" s="11" t="s">
        <v>11</v>
      </c>
      <c r="I3" s="11" t="s">
        <v>12</v>
      </c>
      <c r="J3" s="11" t="s">
        <v>9</v>
      </c>
      <c r="K3" s="11" t="s">
        <v>10</v>
      </c>
      <c r="L3" s="11" t="s">
        <v>11</v>
      </c>
      <c r="M3" s="11" t="s">
        <v>12</v>
      </c>
      <c r="N3" s="11" t="s">
        <v>14</v>
      </c>
    </row>
    <row r="4" spans="1:14" ht="15" x14ac:dyDescent="0.2">
      <c r="A4" s="12" t="s">
        <v>19</v>
      </c>
      <c r="B4" s="13" t="s">
        <v>20</v>
      </c>
      <c r="C4" s="14">
        <v>8</v>
      </c>
      <c r="D4" s="14">
        <v>165.375</v>
      </c>
      <c r="E4" s="14">
        <v>1459.0205078125</v>
      </c>
      <c r="F4" s="15">
        <v>3.2628673644330095</v>
      </c>
      <c r="G4" s="15">
        <v>4.6987872322820294</v>
      </c>
      <c r="H4" s="15">
        <v>4.8512301254585548</v>
      </c>
      <c r="I4" s="15">
        <v>-0.14971801487278574</v>
      </c>
      <c r="J4" s="16" t="s">
        <v>21</v>
      </c>
      <c r="K4" s="16" t="s">
        <v>22</v>
      </c>
      <c r="L4" s="16" t="s">
        <v>22</v>
      </c>
      <c r="M4" s="16" t="s">
        <v>21</v>
      </c>
      <c r="N4" s="17">
        <v>-0.63867237518930176</v>
      </c>
    </row>
    <row r="5" spans="1:14" ht="15" x14ac:dyDescent="0.2">
      <c r="A5" s="12" t="s">
        <v>129</v>
      </c>
      <c r="B5" s="13" t="s">
        <v>102</v>
      </c>
      <c r="C5" s="14">
        <v>29</v>
      </c>
      <c r="D5" s="14">
        <v>155.34483337402344</v>
      </c>
      <c r="E5" s="14">
        <v>5090.982421875</v>
      </c>
      <c r="F5" s="15">
        <v>2.8682818352284025</v>
      </c>
      <c r="G5" s="15">
        <v>5.2308073086446232</v>
      </c>
      <c r="H5" s="15">
        <v>4.7386531048847376</v>
      </c>
      <c r="I5" s="15">
        <v>0.68749560816923605</v>
      </c>
      <c r="J5" s="16" t="s">
        <v>130</v>
      </c>
      <c r="K5" s="16" t="s">
        <v>22</v>
      </c>
      <c r="L5" s="16" t="s">
        <v>130</v>
      </c>
      <c r="M5" s="16" t="s">
        <v>21</v>
      </c>
      <c r="N5" s="17">
        <v>0.1501845594446414</v>
      </c>
    </row>
    <row r="6" spans="1:14" ht="15" x14ac:dyDescent="0.2">
      <c r="A6" s="12" t="s">
        <v>148</v>
      </c>
      <c r="B6" s="13" t="s">
        <v>102</v>
      </c>
      <c r="C6" s="14">
        <v>29</v>
      </c>
      <c r="D6" s="14">
        <v>115.27586364746094</v>
      </c>
      <c r="E6" s="14">
        <v>2212.73046875</v>
      </c>
      <c r="F6" s="15">
        <v>3.693633957427207</v>
      </c>
      <c r="G6" s="15">
        <v>6.6398822912512454</v>
      </c>
      <c r="H6" s="15">
        <v>5.5519254023546667</v>
      </c>
      <c r="I6" s="15">
        <v>1.1287645554617007</v>
      </c>
      <c r="J6" s="16" t="s">
        <v>130</v>
      </c>
      <c r="K6" s="16" t="s">
        <v>22</v>
      </c>
      <c r="L6" s="16" t="s">
        <v>130</v>
      </c>
      <c r="M6" s="16" t="s">
        <v>21</v>
      </c>
      <c r="N6" s="17">
        <v>8.7599830951117355E-2</v>
      </c>
    </row>
    <row r="7" spans="1:14" ht="15" x14ac:dyDescent="0.2">
      <c r="A7" s="12" t="s">
        <v>163</v>
      </c>
      <c r="B7" s="13" t="s">
        <v>143</v>
      </c>
      <c r="C7" s="14">
        <v>12</v>
      </c>
      <c r="D7" s="14">
        <v>279.41665649414063</v>
      </c>
      <c r="E7" s="14">
        <v>6320.80908203125</v>
      </c>
      <c r="F7" s="15">
        <v>3.1474165063749902</v>
      </c>
      <c r="G7" s="15">
        <v>8.4124868600816587</v>
      </c>
      <c r="H7" s="15">
        <v>8.2077332086922006</v>
      </c>
      <c r="I7" s="15">
        <v>0.2285216311602164</v>
      </c>
      <c r="J7" s="16" t="s">
        <v>22</v>
      </c>
      <c r="K7" s="16" t="s">
        <v>22</v>
      </c>
      <c r="L7" s="16" t="s">
        <v>22</v>
      </c>
      <c r="M7" s="16" t="s">
        <v>21</v>
      </c>
      <c r="N7" s="17">
        <v>-8.2026415467625902E-2</v>
      </c>
    </row>
    <row r="8" spans="1:14" ht="15" x14ac:dyDescent="0.2">
      <c r="A8" s="12" t="s">
        <v>180</v>
      </c>
      <c r="B8" s="13" t="s">
        <v>103</v>
      </c>
      <c r="C8" s="14">
        <v>44</v>
      </c>
      <c r="D8" s="14">
        <v>144.20454406738281</v>
      </c>
      <c r="E8" s="14">
        <v>3733.7001953125</v>
      </c>
      <c r="F8" s="15">
        <v>2.685222957052757</v>
      </c>
      <c r="G8" s="15">
        <v>6.4064639128954957</v>
      </c>
      <c r="H8" s="15">
        <v>5.4875384125793945</v>
      </c>
      <c r="I8" s="15">
        <v>1.1326143063368479</v>
      </c>
      <c r="J8" s="16" t="s">
        <v>22</v>
      </c>
      <c r="K8" s="16" t="s">
        <v>22</v>
      </c>
      <c r="L8" s="16" t="s">
        <v>22</v>
      </c>
      <c r="M8" s="16" t="s">
        <v>21</v>
      </c>
      <c r="N8" s="17">
        <v>-0.50337539889447069</v>
      </c>
    </row>
    <row r="9" spans="1:14" ht="15" x14ac:dyDescent="0.2">
      <c r="A9" s="12" t="s">
        <v>197</v>
      </c>
      <c r="B9" s="13" t="s">
        <v>143</v>
      </c>
      <c r="C9" s="14">
        <v>26</v>
      </c>
      <c r="D9" s="14">
        <v>152.5</v>
      </c>
      <c r="E9" s="14">
        <v>6912.58740234375</v>
      </c>
      <c r="F9" s="15">
        <v>4.6428601546605961</v>
      </c>
      <c r="G9" s="15">
        <v>9.8434924210673369</v>
      </c>
      <c r="H9" s="15">
        <v>8.8668749785104346</v>
      </c>
      <c r="I9" s="15">
        <v>0.976628463672639</v>
      </c>
      <c r="J9" s="16" t="s">
        <v>130</v>
      </c>
      <c r="K9" s="16" t="s">
        <v>130</v>
      </c>
      <c r="L9" s="16" t="s">
        <v>130</v>
      </c>
      <c r="M9" s="16" t="s">
        <v>21</v>
      </c>
      <c r="N9" s="17">
        <v>0.24014811695362637</v>
      </c>
    </row>
    <row r="10" spans="1:14" ht="15" x14ac:dyDescent="0.2">
      <c r="A10" s="12" t="s">
        <v>214</v>
      </c>
      <c r="B10" s="13" t="s">
        <v>99</v>
      </c>
      <c r="C10" s="14">
        <v>26</v>
      </c>
      <c r="D10" s="14">
        <v>156</v>
      </c>
      <c r="E10" s="14">
        <v>4084.822998046875</v>
      </c>
      <c r="F10" s="15">
        <v>2.672348184342193</v>
      </c>
      <c r="G10" s="15">
        <v>5.7504588262950289</v>
      </c>
      <c r="H10" s="15">
        <v>5.4097814899153889</v>
      </c>
      <c r="I10" s="15">
        <v>0.44677355847615052</v>
      </c>
      <c r="J10" s="16" t="s">
        <v>22</v>
      </c>
      <c r="K10" s="16" t="s">
        <v>21</v>
      </c>
      <c r="L10" s="16" t="s">
        <v>22</v>
      </c>
      <c r="M10" s="16" t="s">
        <v>21</v>
      </c>
      <c r="N10" s="17">
        <v>-0.43195983081397721</v>
      </c>
    </row>
    <row r="11" spans="1:14" ht="15" x14ac:dyDescent="0.2">
      <c r="A11" s="12" t="s">
        <v>232</v>
      </c>
      <c r="B11" s="13" t="s">
        <v>102</v>
      </c>
      <c r="C11" s="14">
        <v>40</v>
      </c>
      <c r="D11" s="14">
        <v>30.75</v>
      </c>
      <c r="E11" s="14">
        <v>61.682899475097656</v>
      </c>
      <c r="F11" s="15">
        <v>0.36694145378640497</v>
      </c>
      <c r="G11" s="15">
        <v>0.8916036713612121</v>
      </c>
      <c r="H11" s="15">
        <v>3.848989899004569</v>
      </c>
      <c r="I11" s="15">
        <v>-2.8908588469064775</v>
      </c>
      <c r="J11" s="16" t="s">
        <v>21</v>
      </c>
      <c r="K11" s="16" t="s">
        <v>21</v>
      </c>
      <c r="L11" s="16" t="s">
        <v>21</v>
      </c>
      <c r="M11" s="16" t="s">
        <v>21</v>
      </c>
      <c r="N11" s="17">
        <v>-0.78005725028308137</v>
      </c>
    </row>
    <row r="12" spans="1:14" ht="15" x14ac:dyDescent="0.2">
      <c r="A12" s="12" t="s">
        <v>251</v>
      </c>
      <c r="B12" s="13" t="s">
        <v>245</v>
      </c>
      <c r="C12" s="14">
        <v>1351</v>
      </c>
      <c r="D12" s="14">
        <v>16.984455108642578</v>
      </c>
      <c r="E12" s="14">
        <v>1444.0069580078125</v>
      </c>
      <c r="F12" s="15">
        <v>1.7970080002837339</v>
      </c>
      <c r="G12" s="15">
        <v>6.0407388575424745</v>
      </c>
      <c r="H12" s="15">
        <v>8.9633040175802172</v>
      </c>
      <c r="I12" s="15">
        <v>-0.78893848104344311</v>
      </c>
      <c r="J12" s="16" t="s">
        <v>130</v>
      </c>
      <c r="K12" s="16" t="s">
        <v>130</v>
      </c>
      <c r="L12" s="16" t="s">
        <v>21</v>
      </c>
      <c r="M12" s="16" t="s">
        <v>21</v>
      </c>
      <c r="N12" s="17">
        <v>6.4207873972132817E-2</v>
      </c>
    </row>
    <row r="13" spans="1:14" ht="15" x14ac:dyDescent="0.2">
      <c r="A13" s="12" t="s">
        <v>266</v>
      </c>
      <c r="B13" s="13" t="s">
        <v>128</v>
      </c>
      <c r="C13" s="14">
        <v>6</v>
      </c>
      <c r="D13" s="14">
        <v>247.33332824707031</v>
      </c>
      <c r="E13" s="14">
        <v>2401.993896484375</v>
      </c>
      <c r="F13" s="15">
        <v>1.0916327793574616</v>
      </c>
      <c r="G13" s="15">
        <v>1.2920923341004777</v>
      </c>
      <c r="H13" s="15">
        <v>3.0107729840176165</v>
      </c>
      <c r="I13" s="15">
        <v>-1.6792783070831787</v>
      </c>
      <c r="J13" s="16" t="s">
        <v>22</v>
      </c>
      <c r="K13" s="16" t="s">
        <v>21</v>
      </c>
      <c r="L13" s="16" t="s">
        <v>22</v>
      </c>
      <c r="M13" s="16" t="s">
        <v>21</v>
      </c>
      <c r="N13" s="17">
        <v>-0.70488418686409404</v>
      </c>
    </row>
    <row r="14" spans="1:14" ht="15" x14ac:dyDescent="0.2">
      <c r="A14" s="12" t="s">
        <v>280</v>
      </c>
      <c r="B14" s="13" t="s">
        <v>246</v>
      </c>
      <c r="C14" s="14">
        <v>16</v>
      </c>
      <c r="D14" s="14">
        <v>66</v>
      </c>
      <c r="E14" s="14">
        <v>396.57479858398438</v>
      </c>
      <c r="F14" s="15">
        <v>1.9973447556747856</v>
      </c>
      <c r="G14" s="15">
        <v>4.993617194071045</v>
      </c>
      <c r="H14" s="15">
        <v>10.263602928214917</v>
      </c>
      <c r="I14" s="15">
        <v>-5.2699857341438721</v>
      </c>
      <c r="J14" s="16" t="s">
        <v>21</v>
      </c>
      <c r="K14" s="16" t="s">
        <v>21</v>
      </c>
      <c r="L14" s="16" t="s">
        <v>21</v>
      </c>
      <c r="M14" s="16" t="s">
        <v>21</v>
      </c>
      <c r="N14" s="17">
        <v>-0.49077231728736809</v>
      </c>
    </row>
    <row r="15" spans="1:14" ht="15" x14ac:dyDescent="0.2">
      <c r="A15" s="12" t="s">
        <v>291</v>
      </c>
      <c r="B15" s="13" t="s">
        <v>102</v>
      </c>
      <c r="C15" s="14">
        <v>70</v>
      </c>
      <c r="D15" s="14">
        <v>193.31428527832031</v>
      </c>
      <c r="E15" s="14">
        <v>19506.26171875</v>
      </c>
      <c r="F15" s="15">
        <v>3.1376440958504936</v>
      </c>
      <c r="G15" s="15">
        <v>7.377484462023685</v>
      </c>
      <c r="H15" s="15">
        <v>7.3170937356009711</v>
      </c>
      <c r="I15" s="15">
        <v>0.48452606335317683</v>
      </c>
      <c r="J15" s="16" t="s">
        <v>130</v>
      </c>
      <c r="K15" s="16" t="s">
        <v>130</v>
      </c>
      <c r="L15" s="16" t="s">
        <v>130</v>
      </c>
      <c r="M15" s="16" t="s">
        <v>21</v>
      </c>
      <c r="N15" s="17">
        <v>0.23390536864872283</v>
      </c>
    </row>
    <row r="16" spans="1:14" ht="15" x14ac:dyDescent="0.2">
      <c r="A16" s="12" t="s">
        <v>304</v>
      </c>
      <c r="B16" s="13" t="s">
        <v>102</v>
      </c>
      <c r="C16" s="14">
        <v>60</v>
      </c>
      <c r="D16" s="14">
        <v>99.199996948242188</v>
      </c>
      <c r="E16" s="14">
        <v>3242.499267578125</v>
      </c>
      <c r="F16" s="15">
        <v>2.8518150924564001</v>
      </c>
      <c r="G16" s="15">
        <v>6.1132246525251546</v>
      </c>
      <c r="H16" s="15">
        <v>6.3265049410158785</v>
      </c>
      <c r="I16" s="15">
        <v>0.65626264834410852</v>
      </c>
      <c r="J16" s="16" t="s">
        <v>130</v>
      </c>
      <c r="K16" s="16" t="s">
        <v>22</v>
      </c>
      <c r="L16" s="16" t="s">
        <v>22</v>
      </c>
      <c r="M16" s="16" t="s">
        <v>21</v>
      </c>
      <c r="N16" s="17">
        <v>-5.776611636637021E-3</v>
      </c>
    </row>
    <row r="17" spans="1:14" ht="15" x14ac:dyDescent="0.2">
      <c r="A17" s="12" t="s">
        <v>316</v>
      </c>
      <c r="B17" s="13" t="s">
        <v>20</v>
      </c>
      <c r="C17" s="14">
        <v>39</v>
      </c>
      <c r="D17" s="14">
        <v>203.84616088867188</v>
      </c>
      <c r="E17" s="14">
        <v>36072.08203125</v>
      </c>
      <c r="F17" s="15">
        <v>5.2577495762151099</v>
      </c>
      <c r="G17" s="15">
        <v>9.5929909953760042</v>
      </c>
      <c r="H17" s="15">
        <v>9.0344857203255113</v>
      </c>
      <c r="I17" s="15">
        <v>1.0559548827302716</v>
      </c>
      <c r="J17" s="16" t="s">
        <v>22</v>
      </c>
      <c r="K17" s="16" t="s">
        <v>130</v>
      </c>
      <c r="L17" s="16" t="s">
        <v>130</v>
      </c>
      <c r="M17" s="16" t="s">
        <v>21</v>
      </c>
      <c r="N17" s="17">
        <v>6.8017052093550287E-2</v>
      </c>
    </row>
    <row r="18" spans="1:14" ht="15" x14ac:dyDescent="0.2">
      <c r="A18" s="12" t="s">
        <v>329</v>
      </c>
      <c r="B18" s="13" t="s">
        <v>20</v>
      </c>
      <c r="C18" s="14">
        <v>26</v>
      </c>
      <c r="D18" s="14">
        <v>161.46153259277344</v>
      </c>
      <c r="E18" s="14">
        <v>19215.400390625</v>
      </c>
      <c r="F18" s="15">
        <v>8.4001855010920377</v>
      </c>
      <c r="G18" s="15">
        <v>14.492177080118108</v>
      </c>
      <c r="H18" s="15">
        <v>12.910696833750032</v>
      </c>
      <c r="I18" s="15">
        <v>1.7869394941572738</v>
      </c>
      <c r="J18" s="16" t="s">
        <v>22</v>
      </c>
      <c r="K18" s="16" t="s">
        <v>130</v>
      </c>
      <c r="L18" s="16" t="s">
        <v>149</v>
      </c>
      <c r="M18" s="16" t="s">
        <v>21</v>
      </c>
      <c r="N18" s="17">
        <v>-7.9521477560651806E-3</v>
      </c>
    </row>
    <row r="19" spans="1:14" ht="15" x14ac:dyDescent="0.2">
      <c r="A19" s="12" t="s">
        <v>341</v>
      </c>
      <c r="B19" s="13" t="s">
        <v>126</v>
      </c>
      <c r="C19" s="14">
        <v>21</v>
      </c>
      <c r="D19" s="14">
        <v>200.5238037109375</v>
      </c>
      <c r="E19" s="14">
        <v>13572.6767578125</v>
      </c>
      <c r="F19" s="15">
        <v>3.9117745140868658</v>
      </c>
      <c r="G19" s="15">
        <v>6.0627403110063458</v>
      </c>
      <c r="H19" s="15">
        <v>6.7220152401317987</v>
      </c>
      <c r="I19" s="15">
        <v>-0.54282053934825869</v>
      </c>
      <c r="J19" s="16" t="s">
        <v>21</v>
      </c>
      <c r="K19" s="16" t="s">
        <v>21</v>
      </c>
      <c r="L19" s="16" t="s">
        <v>21</v>
      </c>
      <c r="M19" s="16" t="s">
        <v>21</v>
      </c>
      <c r="N19" s="17">
        <v>-0.66071804537140355</v>
      </c>
    </row>
    <row r="20" spans="1:14" ht="15" x14ac:dyDescent="0.2">
      <c r="A20" s="12" t="s">
        <v>354</v>
      </c>
      <c r="B20" s="13" t="s">
        <v>143</v>
      </c>
      <c r="C20" s="14">
        <v>25</v>
      </c>
      <c r="D20" s="14">
        <v>205.72000122070313</v>
      </c>
      <c r="E20" s="14">
        <v>11967.47265625</v>
      </c>
      <c r="F20" s="15">
        <v>4.5892615713720231</v>
      </c>
      <c r="G20" s="15">
        <v>10.381602346106069</v>
      </c>
      <c r="H20" s="15">
        <v>9.3765683742295334</v>
      </c>
      <c r="I20" s="15">
        <v>1.7496329434516085</v>
      </c>
      <c r="J20" s="16" t="s">
        <v>22</v>
      </c>
      <c r="K20" s="16" t="s">
        <v>130</v>
      </c>
      <c r="L20" s="16" t="s">
        <v>22</v>
      </c>
      <c r="M20" s="16" t="s">
        <v>21</v>
      </c>
      <c r="N20" s="17">
        <v>-4.768982005626028E-3</v>
      </c>
    </row>
    <row r="21" spans="1:14" ht="15" x14ac:dyDescent="0.2">
      <c r="A21" s="12" t="s">
        <v>367</v>
      </c>
      <c r="B21" s="13" t="s">
        <v>143</v>
      </c>
      <c r="C21" s="14">
        <v>10</v>
      </c>
      <c r="D21" s="14">
        <v>93.599998474121094</v>
      </c>
      <c r="E21" s="14">
        <v>889.66473388671875</v>
      </c>
      <c r="F21" s="15">
        <v>3.6223688628013289</v>
      </c>
      <c r="G21" s="15">
        <v>8.0895614540551257</v>
      </c>
      <c r="H21" s="15">
        <v>9.1855084989320765</v>
      </c>
      <c r="I21" s="15">
        <v>1.1878859382606934</v>
      </c>
      <c r="J21" s="16" t="s">
        <v>21</v>
      </c>
      <c r="K21" s="16" t="s">
        <v>21</v>
      </c>
      <c r="L21" s="16" t="s">
        <v>21</v>
      </c>
      <c r="M21" s="16" t="s">
        <v>21</v>
      </c>
      <c r="N21" s="17">
        <v>-0.52743472256104096</v>
      </c>
    </row>
    <row r="22" spans="1:14" ht="15" x14ac:dyDescent="0.2">
      <c r="A22" s="12" t="s">
        <v>380</v>
      </c>
      <c r="B22" s="13" t="s">
        <v>104</v>
      </c>
      <c r="C22" s="14">
        <v>171</v>
      </c>
      <c r="D22" s="14">
        <v>144.92398071289063</v>
      </c>
      <c r="E22" s="14">
        <v>8513.107421875</v>
      </c>
      <c r="F22" s="15">
        <v>2.3168214113975139</v>
      </c>
      <c r="G22" s="15">
        <v>8.0479275342546313</v>
      </c>
      <c r="H22" s="15">
        <v>5.7691658646113693</v>
      </c>
      <c r="I22" s="15">
        <v>2.6264468012604683</v>
      </c>
      <c r="J22" s="16" t="s">
        <v>22</v>
      </c>
      <c r="K22" s="16" t="s">
        <v>130</v>
      </c>
      <c r="L22" s="16" t="s">
        <v>130</v>
      </c>
      <c r="M22" s="16" t="s">
        <v>21</v>
      </c>
      <c r="N22" s="17">
        <v>-0.10417969363514513</v>
      </c>
    </row>
    <row r="23" spans="1:14" ht="15" x14ac:dyDescent="0.2">
      <c r="A23" s="12" t="s">
        <v>393</v>
      </c>
      <c r="B23" s="13" t="s">
        <v>104</v>
      </c>
      <c r="C23" s="14">
        <v>106</v>
      </c>
      <c r="D23" s="14">
        <v>181.66981506347656</v>
      </c>
      <c r="E23" s="14">
        <v>22506.763671875</v>
      </c>
      <c r="F23" s="15">
        <v>4.6325468728666834</v>
      </c>
      <c r="G23" s="15">
        <v>11.720978593418124</v>
      </c>
      <c r="H23" s="15">
        <v>9.7796172222869</v>
      </c>
      <c r="I23" s="15">
        <v>2.7964205717410349</v>
      </c>
      <c r="J23" s="16" t="s">
        <v>22</v>
      </c>
      <c r="K23" s="16" t="s">
        <v>130</v>
      </c>
      <c r="L23" s="16" t="s">
        <v>130</v>
      </c>
      <c r="M23" s="16" t="s">
        <v>21</v>
      </c>
      <c r="N23" s="17">
        <v>-0.14693910060597731</v>
      </c>
    </row>
    <row r="24" spans="1:14" ht="15" x14ac:dyDescent="0.2">
      <c r="A24" s="12" t="s">
        <v>404</v>
      </c>
      <c r="B24" s="13" t="s">
        <v>144</v>
      </c>
      <c r="C24" s="14">
        <v>23</v>
      </c>
      <c r="D24" s="14">
        <v>214.21739196777344</v>
      </c>
      <c r="E24" s="14">
        <v>6603.955078125</v>
      </c>
      <c r="F24" s="15">
        <v>2.0940831649821483</v>
      </c>
      <c r="G24" s="15">
        <v>7.8690935827088442</v>
      </c>
      <c r="H24" s="15">
        <v>7.6727160371711207</v>
      </c>
      <c r="I24" s="15">
        <v>0.19637754553772307</v>
      </c>
      <c r="J24" s="16" t="s">
        <v>22</v>
      </c>
      <c r="K24" s="16" t="s">
        <v>130</v>
      </c>
      <c r="L24" s="16" t="s">
        <v>130</v>
      </c>
      <c r="M24" s="16" t="s">
        <v>21</v>
      </c>
      <c r="N24" s="17">
        <v>-8.3173774222086702E-2</v>
      </c>
    </row>
    <row r="25" spans="1:14" ht="15" x14ac:dyDescent="0.2">
      <c r="A25" s="12" t="s">
        <v>417</v>
      </c>
      <c r="B25" s="13" t="s">
        <v>144</v>
      </c>
      <c r="C25" s="14">
        <v>20</v>
      </c>
      <c r="D25" s="14">
        <v>215.64999389648438</v>
      </c>
      <c r="E25" s="14">
        <v>3596.468505859375</v>
      </c>
      <c r="F25" s="15">
        <v>3.8162502326360261</v>
      </c>
      <c r="G25" s="15">
        <v>14.192110561074573</v>
      </c>
      <c r="H25" s="15">
        <v>11.580469930990517</v>
      </c>
      <c r="I25" s="15">
        <v>2.6116406300840556</v>
      </c>
      <c r="J25" s="16" t="s">
        <v>22</v>
      </c>
      <c r="K25" s="16" t="s">
        <v>130</v>
      </c>
      <c r="L25" s="16" t="s">
        <v>22</v>
      </c>
      <c r="M25" s="16" t="s">
        <v>21</v>
      </c>
      <c r="N25" s="17">
        <v>-0.11082527069326784</v>
      </c>
    </row>
    <row r="26" spans="1:14" ht="15" x14ac:dyDescent="0.2">
      <c r="A26" s="12" t="s">
        <v>430</v>
      </c>
      <c r="B26" s="13" t="s">
        <v>100</v>
      </c>
      <c r="C26" s="14">
        <v>64</v>
      </c>
      <c r="D26" s="14">
        <v>170.859375</v>
      </c>
      <c r="E26" s="14">
        <v>21507.7265625</v>
      </c>
      <c r="F26" s="15">
        <v>4.5658679754678069</v>
      </c>
      <c r="G26" s="15">
        <v>7.489137668783548</v>
      </c>
      <c r="H26" s="15">
        <v>6.2573791355352721</v>
      </c>
      <c r="I26" s="15">
        <v>1.4886838996336942</v>
      </c>
      <c r="J26" s="16" t="s">
        <v>21</v>
      </c>
      <c r="K26" s="16" t="s">
        <v>22</v>
      </c>
      <c r="L26" s="16" t="s">
        <v>130</v>
      </c>
      <c r="M26" s="16" t="s">
        <v>21</v>
      </c>
      <c r="N26" s="17">
        <v>-0.40726784490958029</v>
      </c>
    </row>
    <row r="27" spans="1:14" ht="15" x14ac:dyDescent="0.2">
      <c r="A27" s="12" t="s">
        <v>443</v>
      </c>
      <c r="B27" s="13" t="s">
        <v>100</v>
      </c>
      <c r="C27" s="14">
        <v>171</v>
      </c>
      <c r="D27" s="14">
        <v>88.789474487304688</v>
      </c>
      <c r="E27" s="14">
        <v>16847.18359375</v>
      </c>
      <c r="F27" s="15">
        <v>7.087585681885864</v>
      </c>
      <c r="G27" s="15">
        <v>11.760181135663961</v>
      </c>
      <c r="H27" s="15">
        <v>9.1742069255348717</v>
      </c>
      <c r="I27" s="15">
        <v>3.2058562083568769</v>
      </c>
      <c r="J27" s="16" t="s">
        <v>149</v>
      </c>
      <c r="K27" s="16" t="s">
        <v>130</v>
      </c>
      <c r="L27" s="16" t="s">
        <v>130</v>
      </c>
      <c r="M27" s="16" t="s">
        <v>21</v>
      </c>
      <c r="N27" s="17">
        <v>8.4489623084932935E-2</v>
      </c>
    </row>
    <row r="28" spans="1:14" ht="15" x14ac:dyDescent="0.2">
      <c r="A28" s="12" t="s">
        <v>458</v>
      </c>
      <c r="B28" s="13" t="s">
        <v>102</v>
      </c>
      <c r="C28" s="14">
        <v>170</v>
      </c>
      <c r="D28" s="14">
        <v>72.123527526855469</v>
      </c>
      <c r="E28" s="14">
        <v>4346.71044921875</v>
      </c>
      <c r="F28" s="15">
        <v>2.9029954734484256</v>
      </c>
      <c r="G28" s="15">
        <v>7.0413964960093223</v>
      </c>
      <c r="H28" s="15">
        <v>5.1727405147605463</v>
      </c>
      <c r="I28" s="15">
        <v>2.0649030479053168</v>
      </c>
      <c r="J28" s="16" t="s">
        <v>130</v>
      </c>
      <c r="K28" s="16" t="s">
        <v>130</v>
      </c>
      <c r="L28" s="16" t="s">
        <v>22</v>
      </c>
      <c r="M28" s="16" t="s">
        <v>21</v>
      </c>
      <c r="N28" s="17">
        <v>0.13772627304132543</v>
      </c>
    </row>
    <row r="29" spans="1:14" ht="15" x14ac:dyDescent="0.2">
      <c r="A29" s="12" t="s">
        <v>470</v>
      </c>
      <c r="B29" s="13" t="s">
        <v>144</v>
      </c>
      <c r="C29" s="14">
        <v>203</v>
      </c>
      <c r="D29" s="14">
        <v>61.669952392578125</v>
      </c>
      <c r="E29" s="14">
        <v>2515.307861328125</v>
      </c>
      <c r="F29" s="15">
        <v>2.5461466394942405</v>
      </c>
      <c r="G29" s="15">
        <v>8.2154944235053602</v>
      </c>
      <c r="H29" s="15">
        <v>5.8614330682178952</v>
      </c>
      <c r="I29" s="15">
        <v>3.2317715910819431</v>
      </c>
      <c r="J29" s="16" t="s">
        <v>130</v>
      </c>
      <c r="K29" s="16" t="s">
        <v>130</v>
      </c>
      <c r="L29" s="16" t="s">
        <v>130</v>
      </c>
      <c r="M29" s="16" t="s">
        <v>21</v>
      </c>
      <c r="N29" s="17">
        <v>2.5292896534188297E-2</v>
      </c>
    </row>
    <row r="30" spans="1:14" ht="15" x14ac:dyDescent="0.2">
      <c r="A30" s="12" t="s">
        <v>483</v>
      </c>
      <c r="B30" s="13" t="s">
        <v>245</v>
      </c>
      <c r="C30" s="14">
        <v>1139</v>
      </c>
      <c r="D30" s="14">
        <v>77.190521240234375</v>
      </c>
      <c r="E30" s="14">
        <v>20177.37890625</v>
      </c>
      <c r="F30" s="15">
        <v>2.6254758430958645</v>
      </c>
      <c r="G30" s="15">
        <v>9.9194832459086744</v>
      </c>
      <c r="H30" s="15">
        <v>7.7283468290665489</v>
      </c>
      <c r="I30" s="15">
        <v>2.9672201129422628</v>
      </c>
      <c r="J30" s="16" t="s">
        <v>130</v>
      </c>
      <c r="K30" s="16" t="s">
        <v>130</v>
      </c>
      <c r="L30" s="16" t="s">
        <v>130</v>
      </c>
      <c r="M30" s="16" t="s">
        <v>21</v>
      </c>
      <c r="N30" s="17">
        <v>-5.0352101011343258E-3</v>
      </c>
    </row>
    <row r="31" spans="1:14" ht="15" x14ac:dyDescent="0.2">
      <c r="A31" s="12" t="s">
        <v>495</v>
      </c>
      <c r="B31" s="13" t="s">
        <v>228</v>
      </c>
      <c r="C31" s="14">
        <v>231</v>
      </c>
      <c r="D31" s="14">
        <v>54.891773223876953</v>
      </c>
      <c r="E31" s="14">
        <v>2229.69775390625</v>
      </c>
      <c r="F31" s="15">
        <v>2.8369398766685254</v>
      </c>
      <c r="G31" s="15">
        <v>11.262764847447826</v>
      </c>
      <c r="H31" s="15">
        <v>8.2128245589197562</v>
      </c>
      <c r="I31" s="15">
        <v>3.9528272554974344</v>
      </c>
      <c r="J31" s="16" t="s">
        <v>130</v>
      </c>
      <c r="K31" s="16" t="s">
        <v>130</v>
      </c>
      <c r="L31" s="16" t="s">
        <v>21</v>
      </c>
      <c r="M31" s="16" t="s">
        <v>130</v>
      </c>
      <c r="N31" s="17">
        <v>4.7327330776631316E-2</v>
      </c>
    </row>
    <row r="32" spans="1:14" ht="15" x14ac:dyDescent="0.2">
      <c r="A32" s="12" t="s">
        <v>507</v>
      </c>
      <c r="B32" s="13" t="s">
        <v>102</v>
      </c>
      <c r="C32" s="14">
        <v>29</v>
      </c>
      <c r="D32" s="14">
        <v>156.79310607910156</v>
      </c>
      <c r="E32" s="14">
        <v>3461.04443359375</v>
      </c>
      <c r="F32" s="15">
        <v>2.4629507788814813</v>
      </c>
      <c r="G32" s="15">
        <v>5.3015594477796846</v>
      </c>
      <c r="H32" s="15">
        <v>5.1292109556027201</v>
      </c>
      <c r="I32" s="15">
        <v>0.41951122717273748</v>
      </c>
      <c r="J32" s="16" t="s">
        <v>22</v>
      </c>
      <c r="K32" s="16" t="s">
        <v>22</v>
      </c>
      <c r="L32" s="16" t="s">
        <v>22</v>
      </c>
      <c r="M32" s="16" t="s">
        <v>21</v>
      </c>
      <c r="N32" s="17">
        <v>-0.17688054563276706</v>
      </c>
    </row>
    <row r="33" spans="1:14" ht="15" x14ac:dyDescent="0.2">
      <c r="A33" s="12" t="s">
        <v>518</v>
      </c>
      <c r="B33" s="13" t="s">
        <v>102</v>
      </c>
      <c r="C33" s="14">
        <v>57</v>
      </c>
      <c r="D33" s="14">
        <v>148.5614013671875</v>
      </c>
      <c r="E33" s="14">
        <v>4069.203857421875</v>
      </c>
      <c r="F33" s="15">
        <v>2.7192853474331815</v>
      </c>
      <c r="G33" s="15">
        <v>6.1785528959690179</v>
      </c>
      <c r="H33" s="15">
        <v>5.200727251734043</v>
      </c>
      <c r="I33" s="15">
        <v>1.0719359794690544</v>
      </c>
      <c r="J33" s="16" t="s">
        <v>130</v>
      </c>
      <c r="K33" s="16" t="s">
        <v>22</v>
      </c>
      <c r="L33" s="16" t="s">
        <v>22</v>
      </c>
      <c r="M33" s="16" t="s">
        <v>21</v>
      </c>
      <c r="N33" s="17">
        <v>0.11746330750455326</v>
      </c>
    </row>
  </sheetData>
  <mergeCells count="1">
    <mergeCell ref="M1:N1"/>
  </mergeCells>
  <hyperlinks>
    <hyperlink ref="M1:N1" location="Home_page" display="Back to_x000a_home page" xr:uid="{A012F5E7-4C63-4969-80DD-9BD06A5E08B8}"/>
  </hyperlinks>
  <pageMargins left="0.7" right="0.7" top="0.75" bottom="0.75" header="0.3" footer="0.3"/>
  <pageSetup paperSize="9" scale="74"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DFD71-AB9F-4DA7-B6E2-630BE7741A6F}">
  <sheetPr codeName="Feuil6">
    <pageSetUpPr fitToPage="1"/>
  </sheetPr>
  <dimension ref="A1:S192"/>
  <sheetViews>
    <sheetView zoomScale="80" zoomScaleNormal="8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19</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12</v>
      </c>
      <c r="E3" s="28">
        <v>5</v>
      </c>
      <c r="F3" s="28">
        <v>5</v>
      </c>
      <c r="G3" s="28">
        <v>9</v>
      </c>
      <c r="H3" s="28">
        <v>12</v>
      </c>
      <c r="I3" s="28">
        <v>15</v>
      </c>
      <c r="J3" s="28">
        <v>14</v>
      </c>
      <c r="K3" s="28">
        <v>10</v>
      </c>
      <c r="L3" s="28">
        <v>10</v>
      </c>
      <c r="M3" s="28">
        <v>7</v>
      </c>
      <c r="N3" s="28">
        <v>8</v>
      </c>
      <c r="O3" s="29">
        <f t="shared" ref="O3:O41" si="0">IF(N3=0,"",IFERROR(IF(AND(N3&gt;0,D3&lt;0),"na",IF(AND(N3&lt;0,D3&lt;0),-1,1)*(N3-D3)/D3),""))</f>
        <v>-0.33333333333333331</v>
      </c>
      <c r="P3" s="29">
        <f t="shared" ref="P3:P41" si="1">IF(N3=0,"",IFERROR(IF(AND(N3&gt;0,J3&lt;0),"na",IF(AND(N3&lt;0,J3&lt;0),-1,1)*(N3-J3)/J3),""))</f>
        <v>-0.42857142857142855</v>
      </c>
    </row>
    <row r="4" spans="1:17" ht="18" customHeight="1" x14ac:dyDescent="0.2">
      <c r="A4" s="193"/>
      <c r="B4" s="30" t="s">
        <v>55</v>
      </c>
      <c r="C4" s="31"/>
      <c r="D4" s="31">
        <v>3132</v>
      </c>
      <c r="E4" s="31">
        <v>962</v>
      </c>
      <c r="F4" s="31">
        <v>824</v>
      </c>
      <c r="G4" s="31">
        <v>1780</v>
      </c>
      <c r="H4" s="31">
        <v>2392</v>
      </c>
      <c r="I4" s="31">
        <v>3116</v>
      </c>
      <c r="J4" s="31">
        <v>4214</v>
      </c>
      <c r="K4" s="31">
        <v>2943</v>
      </c>
      <c r="L4" s="31">
        <v>3019</v>
      </c>
      <c r="M4" s="31">
        <v>2189</v>
      </c>
      <c r="N4" s="31">
        <v>2590</v>
      </c>
      <c r="O4" s="29">
        <f t="shared" si="0"/>
        <v>-0.17305236270753513</v>
      </c>
      <c r="P4" s="29">
        <f t="shared" si="1"/>
        <v>-0.38538205980066448</v>
      </c>
    </row>
    <row r="5" spans="1:17" ht="18" customHeight="1" x14ac:dyDescent="0.2">
      <c r="A5" s="193"/>
      <c r="B5" s="30" t="s">
        <v>56</v>
      </c>
      <c r="C5" s="31"/>
      <c r="D5" s="31">
        <v>844</v>
      </c>
      <c r="E5" s="31">
        <v>222</v>
      </c>
      <c r="F5" s="31">
        <v>124</v>
      </c>
      <c r="G5" s="31">
        <v>445</v>
      </c>
      <c r="H5" s="31">
        <v>559</v>
      </c>
      <c r="I5" s="31">
        <v>742</v>
      </c>
      <c r="J5" s="31">
        <v>1291</v>
      </c>
      <c r="K5" s="31">
        <v>984</v>
      </c>
      <c r="L5" s="31">
        <v>938</v>
      </c>
      <c r="M5" s="31">
        <v>654</v>
      </c>
      <c r="N5" s="31">
        <v>752</v>
      </c>
      <c r="O5" s="29">
        <f t="shared" si="0"/>
        <v>-0.10900473933649289</v>
      </c>
      <c r="P5" s="29">
        <f t="shared" si="1"/>
        <v>-0.41750580945003873</v>
      </c>
      <c r="Q5" s="32"/>
    </row>
    <row r="6" spans="1:17" ht="18" customHeight="1" x14ac:dyDescent="0.2">
      <c r="A6" s="193"/>
      <c r="B6" s="30" t="s">
        <v>57</v>
      </c>
      <c r="C6" s="31"/>
      <c r="D6" s="31">
        <v>2568.482666015625</v>
      </c>
      <c r="E6" s="31">
        <v>812.86492919921875</v>
      </c>
      <c r="F6" s="31">
        <v>655.4130859375</v>
      </c>
      <c r="G6" s="31">
        <v>1545.7847900390625</v>
      </c>
      <c r="H6" s="31">
        <v>2021.1688232421875</v>
      </c>
      <c r="I6" s="31">
        <v>2644.4755859375</v>
      </c>
      <c r="J6" s="31">
        <v>3395.3896484375</v>
      </c>
      <c r="K6" s="31">
        <v>2410.098388671875</v>
      </c>
      <c r="L6" s="31">
        <v>2382.737548828125</v>
      </c>
      <c r="M6" s="31">
        <v>1732.0889892578125</v>
      </c>
      <c r="N6" s="31">
        <v>2040.5860595703125</v>
      </c>
      <c r="O6" s="29">
        <f t="shared" si="0"/>
        <v>-0.20552858441681268</v>
      </c>
      <c r="P6" s="29">
        <f t="shared" si="1"/>
        <v>-0.39901269932028122</v>
      </c>
    </row>
    <row r="7" spans="1:17" ht="18" customHeight="1" x14ac:dyDescent="0.2">
      <c r="A7" s="193"/>
      <c r="B7" s="30" t="s">
        <v>58</v>
      </c>
      <c r="C7" s="31"/>
      <c r="D7" s="31">
        <v>1124.8128662109375</v>
      </c>
      <c r="E7" s="31">
        <v>807.88848876953125</v>
      </c>
      <c r="F7" s="31">
        <v>474.81341552734375</v>
      </c>
      <c r="G7" s="31">
        <v>1007.833984375</v>
      </c>
      <c r="H7" s="31">
        <v>1027.6947021484375</v>
      </c>
      <c r="I7" s="31">
        <v>1499.262939453125</v>
      </c>
      <c r="J7" s="31">
        <v>2027.40966796875</v>
      </c>
      <c r="K7" s="31">
        <v>1982.2061767578125</v>
      </c>
      <c r="L7" s="31">
        <v>1907.5430908203125</v>
      </c>
      <c r="M7" s="31">
        <v>716.00537109375</v>
      </c>
      <c r="N7" s="31">
        <v>1459.0205078125</v>
      </c>
      <c r="O7" s="29">
        <f t="shared" si="0"/>
        <v>0.29712288296219413</v>
      </c>
      <c r="P7" s="29">
        <f t="shared" si="1"/>
        <v>-0.28035239701984643</v>
      </c>
    </row>
    <row r="8" spans="1:17" ht="18" customHeight="1" x14ac:dyDescent="0.2">
      <c r="A8" s="193"/>
      <c r="B8" s="30" t="s">
        <v>59</v>
      </c>
      <c r="C8" s="33"/>
      <c r="D8" s="33">
        <f ca="1">2.012945875*OFFSET(D$112,MATCH($N$1,$C$112:$C$113,0)-1,0)</f>
        <v>2.0129458750000002</v>
      </c>
      <c r="E8" s="33">
        <f ca="1">0.74227375*OFFSET(E$112,MATCH($N$1,$C$112:$C$113,0)-1,0)</f>
        <v>0.74227374999999995</v>
      </c>
      <c r="F8" s="33">
        <f ca="1">0.6577098125*OFFSET(F$112,MATCH($N$1,$C$112:$C$113,0)-1,0)</f>
        <v>0.65770981250000005</v>
      </c>
      <c r="G8" s="33">
        <f ca="1">1.95693875*OFFSET(G$112,MATCH($N$1,$C$112:$C$113,0)-1,0)</f>
        <v>1.9569387499999999</v>
      </c>
      <c r="H8" s="33">
        <f ca="1">1.798285875*OFFSET(H$112,MATCH($N$1,$C$112:$C$113,0)-1,0)</f>
        <v>1.7982858749999999</v>
      </c>
      <c r="I8" s="33">
        <f ca="1">3.355715*OFFSET(I$112,MATCH($N$1,$C$112:$C$113,0)-1,0)</f>
        <v>3.355715</v>
      </c>
      <c r="J8" s="33">
        <f ca="1">4.675298*OFFSET(J$112,MATCH($N$1,$C$112:$C$113,0)-1,0)</f>
        <v>4.6752979999999997</v>
      </c>
      <c r="K8" s="33">
        <f ca="1">3.6900495*OFFSET(K$112,MATCH($N$1,$C$112:$C$113,0)-1,0)</f>
        <v>3.6900495000000002</v>
      </c>
      <c r="L8" s="33">
        <f ca="1">3.93027425*OFFSET(L$112,MATCH($N$1,$C$112:$C$113,0)-1,0)</f>
        <v>3.9302742500000001</v>
      </c>
      <c r="M8" s="33">
        <f ca="1">1.15238175*OFFSET(M$112,MATCH($N$1,$C$112:$C$113,0)-1,0)</f>
        <v>1.15238175</v>
      </c>
      <c r="N8" s="33">
        <v>2.101105</v>
      </c>
      <c r="O8" s="29">
        <f t="shared" ca="1" si="0"/>
        <v>4.3796073255074369E-2</v>
      </c>
      <c r="P8" s="29">
        <f t="shared" ca="1" si="1"/>
        <v>-0.55059442200261888</v>
      </c>
    </row>
    <row r="9" spans="1:17" ht="18" customHeight="1" x14ac:dyDescent="0.2">
      <c r="A9" s="193"/>
      <c r="B9" s="30" t="s">
        <v>60</v>
      </c>
      <c r="C9" s="31"/>
      <c r="D9" s="31">
        <v>1278</v>
      </c>
      <c r="E9" s="31">
        <v>520</v>
      </c>
      <c r="F9" s="31">
        <v>570</v>
      </c>
      <c r="G9" s="31">
        <v>1179</v>
      </c>
      <c r="H9" s="31">
        <v>1185</v>
      </c>
      <c r="I9" s="31">
        <v>1925</v>
      </c>
      <c r="J9" s="31">
        <v>1944</v>
      </c>
      <c r="K9" s="31">
        <v>1303</v>
      </c>
      <c r="L9" s="31">
        <v>1423</v>
      </c>
      <c r="M9" s="31">
        <v>731</v>
      </c>
      <c r="N9" s="31">
        <v>1323</v>
      </c>
      <c r="O9" s="29">
        <f t="shared" si="0"/>
        <v>3.5211267605633804E-2</v>
      </c>
      <c r="P9" s="29">
        <f t="shared" si="1"/>
        <v>-0.31944444444444442</v>
      </c>
    </row>
    <row r="10" spans="1:17" ht="18" customHeight="1" x14ac:dyDescent="0.2">
      <c r="A10" s="193"/>
      <c r="B10" s="30" t="s">
        <v>61</v>
      </c>
      <c r="C10" s="31"/>
      <c r="D10" s="31">
        <v>25.643157958984375</v>
      </c>
      <c r="E10" s="31">
        <v>4.5871596336364746</v>
      </c>
      <c r="F10" s="31">
        <v>8.5467872619628906</v>
      </c>
      <c r="G10" s="31">
        <v>26.147932052612305</v>
      </c>
      <c r="H10" s="31">
        <v>19.519233703613281</v>
      </c>
      <c r="I10" s="31">
        <v>63.080215454101563</v>
      </c>
      <c r="J10" s="31">
        <v>65.130142211914063</v>
      </c>
      <c r="K10" s="31">
        <v>29.704763412475586</v>
      </c>
      <c r="L10" s="31">
        <v>29.472892761230469</v>
      </c>
      <c r="M10" s="31">
        <v>17.894493103027344</v>
      </c>
      <c r="N10" s="31">
        <v>29.026887893676758</v>
      </c>
      <c r="O10" s="34">
        <f t="shared" si="0"/>
        <v>0.13195449406444318</v>
      </c>
      <c r="P10" s="34">
        <f t="shared" si="1"/>
        <v>-0.55432481938651512</v>
      </c>
    </row>
    <row r="11" spans="1:17" ht="18" customHeight="1" x14ac:dyDescent="0.2">
      <c r="A11" s="194" t="s">
        <v>27</v>
      </c>
      <c r="B11" s="35" t="s">
        <v>62</v>
      </c>
      <c r="C11" s="36"/>
      <c r="D11" s="36">
        <v>16.831666946411133</v>
      </c>
      <c r="E11" s="36">
        <v>14.800000190734863</v>
      </c>
      <c r="F11" s="36">
        <v>12.283999443054199</v>
      </c>
      <c r="G11" s="36">
        <v>15.304444313049316</v>
      </c>
      <c r="H11" s="36">
        <v>14.946666717529297</v>
      </c>
      <c r="I11" s="36">
        <v>15.251333236694336</v>
      </c>
      <c r="J11" s="36">
        <v>17.649999618530273</v>
      </c>
      <c r="K11" s="36">
        <v>17.746000289916992</v>
      </c>
      <c r="L11" s="36">
        <v>16.992000579833984</v>
      </c>
      <c r="M11" s="36">
        <v>17.658571243286133</v>
      </c>
      <c r="N11" s="36">
        <v>18.412500381469727</v>
      </c>
      <c r="O11" s="29">
        <f t="shared" si="0"/>
        <v>9.3920194600550885E-2</v>
      </c>
      <c r="P11" s="29">
        <f t="shared" si="1"/>
        <v>4.320117730421498E-2</v>
      </c>
    </row>
    <row r="12" spans="1:17" ht="18" customHeight="1" x14ac:dyDescent="0.2">
      <c r="A12" s="195"/>
      <c r="B12" s="37" t="s">
        <v>55</v>
      </c>
      <c r="C12" s="31"/>
      <c r="D12" s="31">
        <v>261</v>
      </c>
      <c r="E12" s="31">
        <v>192.39999389648438</v>
      </c>
      <c r="F12" s="31">
        <v>164.80000305175781</v>
      </c>
      <c r="G12" s="31">
        <v>197.77777099609375</v>
      </c>
      <c r="H12" s="31">
        <v>199.33332824707031</v>
      </c>
      <c r="I12" s="31">
        <v>207.73333740234375</v>
      </c>
      <c r="J12" s="31">
        <v>301</v>
      </c>
      <c r="K12" s="31">
        <v>294.29998779296875</v>
      </c>
      <c r="L12" s="31">
        <v>301.89999389648438</v>
      </c>
      <c r="M12" s="31">
        <v>312.71429443359375</v>
      </c>
      <c r="N12" s="31">
        <v>323.75</v>
      </c>
      <c r="O12" s="29">
        <f t="shared" si="0"/>
        <v>0.24042145593869732</v>
      </c>
      <c r="P12" s="29">
        <f t="shared" si="1"/>
        <v>7.5581395348837205E-2</v>
      </c>
    </row>
    <row r="13" spans="1:17" ht="18" customHeight="1" x14ac:dyDescent="0.2">
      <c r="A13" s="195"/>
      <c r="B13" s="37" t="s">
        <v>56</v>
      </c>
      <c r="C13" s="31"/>
      <c r="D13" s="31">
        <v>70.333335876464844</v>
      </c>
      <c r="E13" s="31">
        <v>44.400001525878906</v>
      </c>
      <c r="F13" s="31">
        <v>24.799999237060547</v>
      </c>
      <c r="G13" s="31">
        <v>49.444442749023438</v>
      </c>
      <c r="H13" s="31">
        <v>46.583332061767578</v>
      </c>
      <c r="I13" s="31">
        <v>49.466667175292969</v>
      </c>
      <c r="J13" s="31">
        <v>92.214286804199219</v>
      </c>
      <c r="K13" s="31">
        <v>98.400001525878906</v>
      </c>
      <c r="L13" s="31">
        <v>93.800003051757813</v>
      </c>
      <c r="M13" s="31">
        <v>93.428573608398438</v>
      </c>
      <c r="N13" s="31">
        <v>94</v>
      </c>
      <c r="O13" s="29">
        <f t="shared" si="0"/>
        <v>0.33649284266999441</v>
      </c>
      <c r="P13" s="29">
        <f t="shared" si="1"/>
        <v>1.9364821414196137E-2</v>
      </c>
    </row>
    <row r="14" spans="1:17" ht="18" customHeight="1" x14ac:dyDescent="0.2">
      <c r="A14" s="195"/>
      <c r="B14" s="37" t="s">
        <v>57</v>
      </c>
      <c r="C14" s="31"/>
      <c r="D14" s="31">
        <v>214.04022216796875</v>
      </c>
      <c r="E14" s="31">
        <v>162.57298278808594</v>
      </c>
      <c r="F14" s="31">
        <v>131.08262634277344</v>
      </c>
      <c r="G14" s="31">
        <v>171.75386047363281</v>
      </c>
      <c r="H14" s="31">
        <v>168.43072509765625</v>
      </c>
      <c r="I14" s="31">
        <v>176.29837036132813</v>
      </c>
      <c r="J14" s="31">
        <v>242.52783203125</v>
      </c>
      <c r="K14" s="31">
        <v>241.00984191894531</v>
      </c>
      <c r="L14" s="31">
        <v>238.27375793457031</v>
      </c>
      <c r="M14" s="31">
        <v>247.4412841796875</v>
      </c>
      <c r="N14" s="31">
        <v>255.07325744628906</v>
      </c>
      <c r="O14" s="29">
        <f t="shared" si="0"/>
        <v>0.19170712337478096</v>
      </c>
      <c r="P14" s="29">
        <f t="shared" si="1"/>
        <v>5.1727776189507892E-2</v>
      </c>
    </row>
    <row r="15" spans="1:17" ht="18" customHeight="1" x14ac:dyDescent="0.2">
      <c r="A15" s="195"/>
      <c r="B15" s="37" t="s">
        <v>58</v>
      </c>
      <c r="C15" s="33"/>
      <c r="D15" s="33">
        <v>93.734405517578125</v>
      </c>
      <c r="E15" s="33">
        <v>161.57769775390625</v>
      </c>
      <c r="F15" s="33">
        <v>94.962684631347656</v>
      </c>
      <c r="G15" s="33">
        <v>111.98155975341797</v>
      </c>
      <c r="H15" s="33">
        <v>85.641220092773438</v>
      </c>
      <c r="I15" s="33">
        <v>99.950859069824219</v>
      </c>
      <c r="J15" s="33">
        <v>144.81497192382813</v>
      </c>
      <c r="K15" s="33">
        <v>198.22061157226563</v>
      </c>
      <c r="L15" s="33">
        <v>190.75430297851563</v>
      </c>
      <c r="M15" s="33">
        <v>102.28648376464844</v>
      </c>
      <c r="N15" s="33">
        <v>182.3775634765625</v>
      </c>
      <c r="O15" s="29">
        <f t="shared" si="0"/>
        <v>0.9456843244432912</v>
      </c>
      <c r="P15" s="29">
        <f t="shared" si="1"/>
        <v>0.25938334312899697</v>
      </c>
    </row>
    <row r="16" spans="1:17" ht="18" customHeight="1" x14ac:dyDescent="0.2">
      <c r="A16" s="195"/>
      <c r="B16" s="37" t="s">
        <v>63</v>
      </c>
      <c r="C16" s="33"/>
      <c r="D16" s="33">
        <f ca="1">167.745484375*OFFSET(D$112,MATCH($N$1,$C$112:$C$113,0)-1,0)</f>
        <v>167.74548437499999</v>
      </c>
      <c r="E16" s="33">
        <f ca="1">148.45475*OFFSET(E$112,MATCH($N$1,$C$112:$C$113,0)-1,0)</f>
        <v>148.45474999999999</v>
      </c>
      <c r="F16" s="33">
        <f ca="1">131.54196875*OFFSET(F$112,MATCH($N$1,$C$112:$C$113,0)-1,0)</f>
        <v>131.54196875</v>
      </c>
      <c r="G16" s="33">
        <f ca="1">217.437640625*OFFSET(G$112,MATCH($N$1,$C$112:$C$113,0)-1,0)</f>
        <v>217.437640625</v>
      </c>
      <c r="H16" s="33">
        <f ca="1">149.85715625*OFFSET(H$112,MATCH($N$1,$C$112:$C$113,0)-1,0)</f>
        <v>149.85715625</v>
      </c>
      <c r="I16" s="33">
        <f ca="1">223.71434375*OFFSET(I$112,MATCH($N$1,$C$112:$C$113,0)-1,0)</f>
        <v>223.71434375000001</v>
      </c>
      <c r="J16" s="33">
        <f ca="1">333.94984375*OFFSET(J$112,MATCH($N$1,$C$112:$C$113,0)-1,0)</f>
        <v>333.94984375000001</v>
      </c>
      <c r="K16" s="33">
        <f ca="1">369.0049375*OFFSET(K$112,MATCH($N$1,$C$112:$C$113,0)-1,0)</f>
        <v>369.00493749999998</v>
      </c>
      <c r="L16" s="33">
        <f ca="1">393.02740625*OFFSET(L$112,MATCH($N$1,$C$112:$C$113,0)-1,0)</f>
        <v>393.02740625000001</v>
      </c>
      <c r="M16" s="33">
        <f ca="1">164.62596875*OFFSET(M$112,MATCH($N$1,$C$112:$C$113,0)-1,0)</f>
        <v>164.62596875</v>
      </c>
      <c r="N16" s="33">
        <v>262.638125</v>
      </c>
      <c r="O16" s="29">
        <f t="shared" ca="1" si="0"/>
        <v>0.56569415849588367</v>
      </c>
      <c r="P16" s="29">
        <f t="shared" ca="1" si="1"/>
        <v>-0.21354020696408849</v>
      </c>
    </row>
    <row r="17" spans="1:16" ht="18" customHeight="1" x14ac:dyDescent="0.2">
      <c r="A17" s="195"/>
      <c r="B17" s="37" t="s">
        <v>60</v>
      </c>
      <c r="C17" s="31"/>
      <c r="D17" s="31">
        <v>106.5</v>
      </c>
      <c r="E17" s="31">
        <v>104</v>
      </c>
      <c r="F17" s="31">
        <v>114</v>
      </c>
      <c r="G17" s="31">
        <v>131</v>
      </c>
      <c r="H17" s="31">
        <v>98.75</v>
      </c>
      <c r="I17" s="31">
        <v>128.33332824707031</v>
      </c>
      <c r="J17" s="31">
        <v>138.85714721679688</v>
      </c>
      <c r="K17" s="31">
        <v>130.30000305175781</v>
      </c>
      <c r="L17" s="31">
        <v>142.30000305175781</v>
      </c>
      <c r="M17" s="31">
        <v>104.42857360839844</v>
      </c>
      <c r="N17" s="31">
        <v>165.375</v>
      </c>
      <c r="O17" s="29">
        <f t="shared" si="0"/>
        <v>0.55281690140845074</v>
      </c>
      <c r="P17" s="29">
        <f t="shared" si="1"/>
        <v>0.19097218482964332</v>
      </c>
    </row>
    <row r="18" spans="1:16" ht="18" customHeight="1" x14ac:dyDescent="0.2">
      <c r="A18" s="195"/>
      <c r="B18" s="37" t="s">
        <v>64</v>
      </c>
      <c r="C18" s="31"/>
      <c r="D18" s="31">
        <v>35.416667938232422</v>
      </c>
      <c r="E18" s="31">
        <v>32.799999237060547</v>
      </c>
      <c r="F18" s="31">
        <v>26.799999237060547</v>
      </c>
      <c r="G18" s="31">
        <v>41.444442749023438</v>
      </c>
      <c r="H18" s="31">
        <v>40.083332061767578</v>
      </c>
      <c r="I18" s="31">
        <v>39.866664886474609</v>
      </c>
      <c r="J18" s="31">
        <v>33.928569793701172</v>
      </c>
      <c r="K18" s="31">
        <v>37.400001525878906</v>
      </c>
      <c r="L18" s="31">
        <v>34.299999237060547</v>
      </c>
      <c r="M18" s="31">
        <v>39.142856597900391</v>
      </c>
      <c r="N18" s="31">
        <v>34.625</v>
      </c>
      <c r="O18" s="29">
        <f t="shared" si="0"/>
        <v>-2.2352976276964028E-2</v>
      </c>
      <c r="P18" s="29">
        <f t="shared" si="1"/>
        <v>2.0526364964199587E-2</v>
      </c>
    </row>
    <row r="19" spans="1:16" ht="18" customHeight="1" x14ac:dyDescent="0.2">
      <c r="A19" s="195"/>
      <c r="B19" s="37" t="s">
        <v>65</v>
      </c>
      <c r="C19" s="38"/>
      <c r="D19" s="38">
        <v>0.88013523817062378</v>
      </c>
      <c r="E19" s="38">
        <v>1.5536316633224487</v>
      </c>
      <c r="F19" s="38">
        <v>0.83300602436065674</v>
      </c>
      <c r="G19" s="38">
        <v>0.85482108592987061</v>
      </c>
      <c r="H19" s="38">
        <v>0.8672528862953186</v>
      </c>
      <c r="I19" s="38">
        <v>0.77883791923522949</v>
      </c>
      <c r="J19" s="38">
        <v>1.0429061651229858</v>
      </c>
      <c r="K19" s="38">
        <v>1.5212632417678833</v>
      </c>
      <c r="L19" s="38">
        <v>1.3405081033706665</v>
      </c>
      <c r="M19" s="38">
        <v>0.97948753833770752</v>
      </c>
      <c r="N19" s="38">
        <v>1.1028121709823608</v>
      </c>
      <c r="O19" s="29">
        <f t="shared" si="0"/>
        <v>0.25300308765568219</v>
      </c>
      <c r="P19" s="29">
        <f t="shared" si="1"/>
        <v>5.7441415021561908E-2</v>
      </c>
    </row>
    <row r="20" spans="1:16" ht="18" customHeight="1" x14ac:dyDescent="0.2">
      <c r="A20" s="196"/>
      <c r="B20" s="39" t="s">
        <v>28</v>
      </c>
      <c r="C20" s="40"/>
      <c r="D20" s="40">
        <f ca="1">1790*OFFSET(D$112,MATCH($N$1,$C$112:$C$113,0)-1,0)</f>
        <v>1790</v>
      </c>
      <c r="E20" s="40">
        <f ca="1">919*OFFSET(E$112,MATCH($N$1,$C$112:$C$113,0)-1,0)</f>
        <v>919</v>
      </c>
      <c r="F20" s="40">
        <f ca="1">1385*OFFSET(F$112,MATCH($N$1,$C$112:$C$113,0)-1,0)</f>
        <v>1385</v>
      </c>
      <c r="G20" s="40">
        <f ca="1">1942*OFFSET(G$112,MATCH($N$1,$C$112:$C$113,0)-1,0)</f>
        <v>1942</v>
      </c>
      <c r="H20" s="40">
        <f ca="1">1750*OFFSET(H$112,MATCH($N$1,$C$112:$C$113,0)-1,0)</f>
        <v>1750</v>
      </c>
      <c r="I20" s="40">
        <f ca="1">2238*OFFSET(I$112,MATCH($N$1,$C$112:$C$113,0)-1,0)</f>
        <v>2238</v>
      </c>
      <c r="J20" s="40">
        <f ca="1">2306*OFFSET(J$112,MATCH($N$1,$C$112:$C$113,0)-1,0)</f>
        <v>2306</v>
      </c>
      <c r="K20" s="40">
        <f ca="1">1862*OFFSET(K$112,MATCH($N$1,$C$112:$C$113,0)-1,0)</f>
        <v>1862</v>
      </c>
      <c r="L20" s="40">
        <f ca="1">2060*OFFSET(L$112,MATCH($N$1,$C$112:$C$113,0)-1,0)</f>
        <v>2060</v>
      </c>
      <c r="M20" s="40">
        <f ca="1">1609*OFFSET(M$112,MATCH($N$1,$C$112:$C$113,0)-1,0)</f>
        <v>1609</v>
      </c>
      <c r="N20" s="40">
        <v>1440</v>
      </c>
      <c r="O20" s="34">
        <f t="shared" ca="1" si="0"/>
        <v>-0.19553072625698323</v>
      </c>
      <c r="P20" s="34">
        <f t="shared" ca="1" si="1"/>
        <v>-0.37554206418039898</v>
      </c>
    </row>
    <row r="21" spans="1:16" ht="18" customHeight="1" x14ac:dyDescent="0.2">
      <c r="A21" s="197" t="s">
        <v>29</v>
      </c>
      <c r="B21" s="35" t="s">
        <v>66</v>
      </c>
      <c r="C21" s="41"/>
      <c r="D21" s="41">
        <v>3.1766208160997804</v>
      </c>
      <c r="E21" s="41">
        <v>9.0302183956802242</v>
      </c>
      <c r="F21" s="41">
        <v>5.0591183343934532</v>
      </c>
      <c r="G21" s="41">
        <v>4.0653059428622118</v>
      </c>
      <c r="H21" s="41">
        <v>4.2261352852664862</v>
      </c>
      <c r="I21" s="41">
        <v>3.6625630452172468</v>
      </c>
      <c r="J21" s="41">
        <v>3.3285495658737556</v>
      </c>
      <c r="K21" s="41">
        <v>4.0765249479553862</v>
      </c>
      <c r="L21" s="41">
        <v>3.535603763741678</v>
      </c>
      <c r="M21" s="41">
        <v>2.6434324748556652</v>
      </c>
      <c r="N21" s="41">
        <v>3.2628673644330095</v>
      </c>
      <c r="O21" s="29">
        <f t="shared" si="0"/>
        <v>2.7150407091747777E-2</v>
      </c>
      <c r="P21" s="29">
        <f t="shared" si="1"/>
        <v>-1.9732979828258709E-2</v>
      </c>
    </row>
    <row r="22" spans="1:16" ht="18" customHeight="1" x14ac:dyDescent="0.2">
      <c r="A22" s="197"/>
      <c r="B22" s="37" t="s">
        <v>67</v>
      </c>
      <c r="C22" s="38"/>
      <c r="D22" s="38">
        <f ca="1">5.6848261268637*OFFSET(D$112,MATCH($N$1,$C$112:$C$113,0)-1,0)</f>
        <v>5.6848261268637001</v>
      </c>
      <c r="E22" s="38">
        <f ca="1">8.29680601352484*OFFSET(E$112,MATCH($N$1,$C$112:$C$113,0)-1,0)</f>
        <v>8.29680601352484</v>
      </c>
      <c r="F22" s="38">
        <f ca="1">7.00787249674758*OFFSET(F$112,MATCH($N$1,$C$112:$C$113,0)-1,0)</f>
        <v>7.0078724967475798</v>
      </c>
      <c r="G22" s="38">
        <f ca="1">7.89371513114479*OFFSET(G$112,MATCH($N$1,$C$112:$C$113,0)-1,0)</f>
        <v>7.8937151311447904</v>
      </c>
      <c r="H22" s="38">
        <f ca="1">7.39499758517871*OFFSET(H$112,MATCH($N$1,$C$112:$C$113,0)-1,0)</f>
        <v>7.39499758517871</v>
      </c>
      <c r="I22" s="38">
        <f ca="1">8.19770731066333*OFFSET(I$112,MATCH($N$1,$C$112:$C$113,0)-1,0)</f>
        <v>8.1977073106633291</v>
      </c>
      <c r="J22" s="38">
        <f ca="1">7.67578512546582*OFFSET(J$112,MATCH($N$1,$C$112:$C$113,0)-1,0)</f>
        <v>7.6757851254658203</v>
      </c>
      <c r="K22" s="38">
        <f ca="1">7.58880633908779*OFFSET(K$112,MATCH($N$1,$C$112:$C$113,0)-1,0)</f>
        <v>7.5888063390877898</v>
      </c>
      <c r="L22" s="38">
        <f ca="1">7.28470684589294*OFFSET(L$112,MATCH($N$1,$C$112:$C$113,0)-1,0)</f>
        <v>7.2847068458929396</v>
      </c>
      <c r="M22" s="38">
        <f ca="1">4.25449791586958*OFFSET(M$112,MATCH($N$1,$C$112:$C$113,0)-1,0)</f>
        <v>4.2544979158695799</v>
      </c>
      <c r="N22" s="38">
        <v>4.6987872322820294</v>
      </c>
      <c r="O22" s="29">
        <f t="shared" ca="1" si="0"/>
        <v>-0.1734510207659887</v>
      </c>
      <c r="P22" s="29">
        <f t="shared" ca="1" si="1"/>
        <v>-0.38784278670165689</v>
      </c>
    </row>
    <row r="23" spans="1:16" ht="18" customHeight="1" x14ac:dyDescent="0.2">
      <c r="A23" s="197"/>
      <c r="B23" s="37" t="s">
        <v>11</v>
      </c>
      <c r="C23" s="38"/>
      <c r="D23" s="38">
        <f ca="1">5.32394151657449*OFFSET(D$112,MATCH($N$1,$C$112:$C$113,0)-1,0)</f>
        <v>5.3239415165744903</v>
      </c>
      <c r="E23" s="38">
        <f ca="1">7.57259564225699*OFFSET(E$112,MATCH($N$1,$C$112:$C$113,0)-1,0)</f>
        <v>7.5725956422569896</v>
      </c>
      <c r="F23" s="38">
        <f ca="1">6.0151652455045*OFFSET(F$112,MATCH($N$1,$C$112:$C$113,0)-1,0)</f>
        <v>6.0151652455044999</v>
      </c>
      <c r="G23" s="38">
        <f ca="1">6.93498473322638*OFFSET(G$112,MATCH($N$1,$C$112:$C$113,0)-1,0)</f>
        <v>6.9349847332263801</v>
      </c>
      <c r="H23" s="38">
        <f ca="1">5.90716204862817*OFFSET(H$112,MATCH($N$1,$C$112:$C$113,0)-1,0)</f>
        <v>5.9071620486281704</v>
      </c>
      <c r="I23" s="38">
        <f ca="1">6.18535940680822*OFFSET(I$112,MATCH($N$1,$C$112:$C$113,0)-1,0)</f>
        <v>6.1853594068082201</v>
      </c>
      <c r="J23" s="38">
        <f ca="1">6.76378291568854*OFFSET(J$112,MATCH($N$1,$C$112:$C$113,0)-1,0)</f>
        <v>6.7637829156885401</v>
      </c>
      <c r="K23" s="38">
        <f ca="1">7.22572339884386*OFFSET(K$112,MATCH($N$1,$C$112:$C$113,0)-1,0)</f>
        <v>7.2257233988438596</v>
      </c>
      <c r="L23" s="38">
        <f ca="1">6.84225605702481*OFFSET(L$112,MATCH($N$1,$C$112:$C$113,0)-1,0)</f>
        <v>6.8422560570248097</v>
      </c>
      <c r="M23" s="38">
        <f ca="1">4.8578114258198*OFFSET(M$112,MATCH($N$1,$C$112:$C$113,0)-1,0)</f>
        <v>4.8578114258197997</v>
      </c>
      <c r="N23" s="38">
        <v>4.8512301254585548</v>
      </c>
      <c r="O23" s="29">
        <f t="shared" ca="1" si="0"/>
        <v>-8.8789741518439075E-2</v>
      </c>
      <c r="P23" s="29">
        <f t="shared" ca="1" si="1"/>
        <v>-0.28276377495703392</v>
      </c>
    </row>
    <row r="24" spans="1:16" ht="18" customHeight="1" x14ac:dyDescent="0.2">
      <c r="A24" s="197"/>
      <c r="B24" s="37" t="s">
        <v>12</v>
      </c>
      <c r="C24" s="38"/>
      <c r="D24" s="38">
        <f ca="1">0.367830754315479*OFFSET(D$112,MATCH($N$1,$C$112:$C$113,0)-1,0)</f>
        <v>0.36783075431547901</v>
      </c>
      <c r="E24" s="38">
        <f ca="1">0.739416852522635*OFFSET(E$112,MATCH($N$1,$C$112:$C$113,0)-1,0)</f>
        <v>0.739416852522635</v>
      </c>
      <c r="F24" s="38">
        <f ca="1">0.996988620939058*OFFSET(F$112,MATCH($N$1,$C$112:$C$113,0)-1,0)</f>
        <v>0.99698862093905805</v>
      </c>
      <c r="G24" s="38">
        <f ca="1">0.968375526407462*OFFSET(G$112,MATCH($N$1,$C$112:$C$113,0)-1,0)</f>
        <v>0.96837552640746205</v>
      </c>
      <c r="H24" s="38">
        <f ca="1">1.48783553655054*OFFSET(H$112,MATCH($N$1,$C$112:$C$113,0)-1,0)</f>
        <v>1.48783553655054</v>
      </c>
      <c r="I24" s="38">
        <f ca="1">2.01234790385511*OFFSET(I$112,MATCH($N$1,$C$112:$C$113,0)-1,0)</f>
        <v>2.01234790385511</v>
      </c>
      <c r="J24" s="38">
        <f ca="1">1.46284347303151*OFFSET(J$112,MATCH($N$1,$C$112:$C$113,0)-1,0)</f>
        <v>1.4628434730315101</v>
      </c>
      <c r="K24" s="38">
        <f ca="1">1.43950220333044*OFFSET(K$112,MATCH($N$1,$C$112:$C$113,0)-1,0)</f>
        <v>1.4395022033304401</v>
      </c>
      <c r="L24" s="38">
        <f ca="1">1.79631524143027*OFFSET(L$112,MATCH($N$1,$C$112:$C$113,0)-1,0)</f>
        <v>1.7963152414302701</v>
      </c>
      <c r="M24" s="38">
        <f ca="1">0.159314180263906*OFFSET(M$112,MATCH($N$1,$C$112:$C$113,0)-1,0)</f>
        <v>0.15931418026390601</v>
      </c>
      <c r="N24" s="38">
        <v>-0.14971801487278574</v>
      </c>
      <c r="O24" s="29">
        <f t="shared" ca="1" si="0"/>
        <v>-1.4070296273931908</v>
      </c>
      <c r="P24" s="29">
        <f t="shared" ca="1" si="1"/>
        <v>-1.1023472556243621</v>
      </c>
    </row>
    <row r="25" spans="1:16" ht="18" customHeight="1" x14ac:dyDescent="0.2">
      <c r="A25" s="197"/>
      <c r="B25" s="37" t="s">
        <v>68</v>
      </c>
      <c r="C25" s="33"/>
      <c r="D25" s="33">
        <f ca="1">78.48*OFFSET(D$112,MATCH($N$1,$C$112:$C$113,0)-1,0)</f>
        <v>78.48</v>
      </c>
      <c r="E25" s="33">
        <f ca="1">161.86*OFFSET(E$112,MATCH($N$1,$C$112:$C$113,0)-1,0)</f>
        <v>161.86000000000001</v>
      </c>
      <c r="F25" s="33">
        <f ca="1">76.93*OFFSET(F$112,MATCH($N$1,$C$112:$C$113,0)-1,0)</f>
        <v>76.930000000000007</v>
      </c>
      <c r="G25" s="33">
        <f ca="1">74.83*OFFSET(G$112,MATCH($N$1,$C$112:$C$113,0)-1,0)</f>
        <v>74.83</v>
      </c>
      <c r="H25" s="33">
        <f ca="1">92.16*OFFSET(H$112,MATCH($N$1,$C$112:$C$113,0)-1,0)</f>
        <v>92.16</v>
      </c>
      <c r="I25" s="33">
        <f ca="1">53.19*OFFSET(I$112,MATCH($N$1,$C$112:$C$113,0)-1,0)</f>
        <v>53.19</v>
      </c>
      <c r="J25" s="33">
        <f ca="1">71.77*OFFSET(J$112,MATCH($N$1,$C$112:$C$113,0)-1,0)</f>
        <v>71.77</v>
      </c>
      <c r="K25" s="33">
        <f ca="1">124.22*OFFSET(K$112,MATCH($N$1,$C$112:$C$113,0)-1,0)</f>
        <v>124.22</v>
      </c>
      <c r="L25" s="33">
        <f ca="1">133.34*OFFSET(L$112,MATCH($N$1,$C$112:$C$113,0)-1,0)</f>
        <v>133.34</v>
      </c>
      <c r="M25" s="33">
        <f ca="1">64.39*OFFSET(M$112,MATCH($N$1,$C$112:$C$113,0)-1,0)</f>
        <v>64.39</v>
      </c>
      <c r="N25" s="33">
        <v>72.37</v>
      </c>
      <c r="O25" s="29">
        <f t="shared" ca="1" si="0"/>
        <v>-7.7854230377166142E-2</v>
      </c>
      <c r="P25" s="29">
        <f t="shared" ca="1" si="1"/>
        <v>8.3600390135155165E-3</v>
      </c>
    </row>
    <row r="26" spans="1:16" ht="18" customHeight="1" x14ac:dyDescent="0.2">
      <c r="A26" s="198"/>
      <c r="B26" s="37" t="s">
        <v>69</v>
      </c>
      <c r="C26" s="33"/>
      <c r="D26" s="33">
        <f ca="1">5.1*OFFSET(D$112,MATCH($N$1,$C$112:$C$113,0)-1,0)</f>
        <v>5.0999999999999996</v>
      </c>
      <c r="E26" s="33">
        <f ca="1">14.39*OFFSET(E$112,MATCH($N$1,$C$112:$C$113,0)-1,0)</f>
        <v>14.39</v>
      </c>
      <c r="F26" s="33">
        <f ca="1">10.94*OFFSET(F$112,MATCH($N$1,$C$112:$C$113,0)-1,0)</f>
        <v>10.94</v>
      </c>
      <c r="G26" s="33">
        <f ca="1">9.19*OFFSET(G$112,MATCH($N$1,$C$112:$C$113,0)-1,0)</f>
        <v>9.19</v>
      </c>
      <c r="H26" s="33">
        <f ca="1">18.57*OFFSET(H$112,MATCH($N$1,$C$112:$C$113,0)-1,0)</f>
        <v>18.57</v>
      </c>
      <c r="I26" s="33">
        <f ca="1">13.05*OFFSET(I$112,MATCH($N$1,$C$112:$C$113,0)-1,0)</f>
        <v>13.05</v>
      </c>
      <c r="J26" s="33">
        <f ca="1">13.67*OFFSET(J$112,MATCH($N$1,$C$112:$C$113,0)-1,0)</f>
        <v>13.67</v>
      </c>
      <c r="K26" s="33">
        <f ca="1">23.57*OFFSET(K$112,MATCH($N$1,$C$112:$C$113,0)-1,0)</f>
        <v>23.57</v>
      </c>
      <c r="L26" s="33">
        <f ca="1">32.88*OFFSET(L$112,MATCH($N$1,$C$112:$C$113,0)-1,0)</f>
        <v>32.880000000000003</v>
      </c>
      <c r="M26" s="33">
        <f ca="1">2.43*OFFSET(M$112,MATCH($N$1,$C$112:$C$113,0)-1,0)</f>
        <v>2.4300000000000002</v>
      </c>
      <c r="N26" s="33">
        <v>-2.3199999999999998</v>
      </c>
      <c r="O26" s="34">
        <f t="shared" ca="1" si="0"/>
        <v>-1.4549019607843139</v>
      </c>
      <c r="P26" s="34">
        <f t="shared" ca="1" si="1"/>
        <v>-1.1697147037307973</v>
      </c>
    </row>
    <row r="27" spans="1:16" ht="18" customHeight="1" x14ac:dyDescent="0.2">
      <c r="A27" s="187" t="s">
        <v>30</v>
      </c>
      <c r="B27" s="35" t="s">
        <v>63</v>
      </c>
      <c r="C27" s="36"/>
      <c r="D27" s="36">
        <f ca="1">167.7*OFFSET(D$112,MATCH($N$1,$C$112:$C$113,0)-1,0)</f>
        <v>167.7</v>
      </c>
      <c r="E27" s="36">
        <f ca="1">148.5*OFFSET(E$112,MATCH($N$1,$C$112:$C$113,0)-1,0)</f>
        <v>148.5</v>
      </c>
      <c r="F27" s="36">
        <f ca="1">131.5*OFFSET(F$112,MATCH($N$1,$C$112:$C$113,0)-1,0)</f>
        <v>131.5</v>
      </c>
      <c r="G27" s="36">
        <f ca="1">217.4*OFFSET(G$112,MATCH($N$1,$C$112:$C$113,0)-1,0)</f>
        <v>217.4</v>
      </c>
      <c r="H27" s="36">
        <f ca="1">149.9*OFFSET(H$112,MATCH($N$1,$C$112:$C$113,0)-1,0)</f>
        <v>149.9</v>
      </c>
      <c r="I27" s="36">
        <f ca="1">223.7*OFFSET(I$112,MATCH($N$1,$C$112:$C$113,0)-1,0)</f>
        <v>223.7</v>
      </c>
      <c r="J27" s="36">
        <f ca="1">333.9*OFFSET(J$112,MATCH($N$1,$C$112:$C$113,0)-1,0)</f>
        <v>333.9</v>
      </c>
      <c r="K27" s="36">
        <f ca="1">369*OFFSET(K$112,MATCH($N$1,$C$112:$C$113,0)-1,0)</f>
        <v>369</v>
      </c>
      <c r="L27" s="36">
        <f ca="1">393*OFFSET(L$112,MATCH($N$1,$C$112:$C$113,0)-1,0)</f>
        <v>393</v>
      </c>
      <c r="M27" s="36">
        <f ca="1">164.6*OFFSET(M$112,MATCH($N$1,$C$112:$C$113,0)-1,0)</f>
        <v>164.6</v>
      </c>
      <c r="N27" s="36">
        <v>262.60000000000002</v>
      </c>
      <c r="O27" s="29">
        <f t="shared" ca="1" si="0"/>
        <v>0.56589147286821728</v>
      </c>
      <c r="P27" s="29">
        <f t="shared" ca="1" si="1"/>
        <v>-0.21353698712189267</v>
      </c>
    </row>
    <row r="28" spans="1:16" ht="18" customHeight="1" x14ac:dyDescent="0.2">
      <c r="A28" s="199"/>
      <c r="B28" s="37" t="s">
        <v>70</v>
      </c>
      <c r="C28" s="33"/>
      <c r="D28" s="33">
        <f ca="1">0.2*OFFSET(D$112,MATCH($N$1,$C$112:$C$113,0)-1,0)</f>
        <v>0.2</v>
      </c>
      <c r="E28" s="33">
        <f ca="1">0.3*OFFSET(E$112,MATCH($N$1,$C$112:$C$113,0)-1,0)</f>
        <v>0.3</v>
      </c>
      <c r="F28" s="33">
        <f ca="1">0.1*OFFSET(F$112,MATCH($N$1,$C$112:$C$113,0)-1,0)</f>
        <v>0.1</v>
      </c>
      <c r="G28" s="33">
        <f ca="1">0.3*OFFSET(G$112,MATCH($N$1,$C$112:$C$113,0)-1,0)</f>
        <v>0.3</v>
      </c>
      <c r="H28" s="33"/>
      <c r="I28" s="33"/>
      <c r="J28" s="33">
        <f ca="1">24*OFFSET(J$112,MATCH($N$1,$C$112:$C$113,0)-1,0)</f>
        <v>24</v>
      </c>
      <c r="K28" s="33">
        <f ca="1">52.3*OFFSET(K$112,MATCH($N$1,$C$112:$C$113,0)-1,0)</f>
        <v>52.3</v>
      </c>
      <c r="L28" s="33">
        <f ca="1">73*OFFSET(L$112,MATCH($N$1,$C$112:$C$113,0)-1,0)</f>
        <v>73</v>
      </c>
      <c r="M28" s="33">
        <f ca="1">29.5*OFFSET(M$112,MATCH($N$1,$C$112:$C$113,0)-1,0)</f>
        <v>29.5</v>
      </c>
      <c r="N28" s="33">
        <v>0.2</v>
      </c>
      <c r="O28" s="29">
        <f t="shared" ca="1" si="0"/>
        <v>0</v>
      </c>
      <c r="P28" s="29">
        <f t="shared" ca="1" si="1"/>
        <v>-0.9916666666666667</v>
      </c>
    </row>
    <row r="29" spans="1:16" ht="18" customHeight="1" x14ac:dyDescent="0.2">
      <c r="A29" s="199"/>
      <c r="B29" s="42" t="s">
        <v>71</v>
      </c>
      <c r="C29" s="43"/>
      <c r="D29" s="43">
        <f ca="1">168*OFFSET(D$112,MATCH($N$1,$C$112:$C$113,0)-1,0)</f>
        <v>168</v>
      </c>
      <c r="E29" s="43">
        <f ca="1">148.7*OFFSET(E$112,MATCH($N$1,$C$112:$C$113,0)-1,0)</f>
        <v>148.69999999999999</v>
      </c>
      <c r="F29" s="43">
        <f ca="1">131.6*OFFSET(F$112,MATCH($N$1,$C$112:$C$113,0)-1,0)</f>
        <v>131.6</v>
      </c>
      <c r="G29" s="43">
        <f ca="1">217.7*OFFSET(G$112,MATCH($N$1,$C$112:$C$113,0)-1,0)</f>
        <v>217.7</v>
      </c>
      <c r="H29" s="43">
        <f ca="1">149.9*OFFSET(H$112,MATCH($N$1,$C$112:$C$113,0)-1,0)</f>
        <v>149.9</v>
      </c>
      <c r="I29" s="43">
        <f ca="1">223.7*OFFSET(I$112,MATCH($N$1,$C$112:$C$113,0)-1,0)</f>
        <v>223.7</v>
      </c>
      <c r="J29" s="43">
        <f ca="1">357.9*OFFSET(J$112,MATCH($N$1,$C$112:$C$113,0)-1,0)</f>
        <v>357.9</v>
      </c>
      <c r="K29" s="43">
        <f ca="1">421.3*OFFSET(K$112,MATCH($N$1,$C$112:$C$113,0)-1,0)</f>
        <v>421.3</v>
      </c>
      <c r="L29" s="43">
        <f ca="1">466.1*OFFSET(L$112,MATCH($N$1,$C$112:$C$113,0)-1,0)</f>
        <v>466.1</v>
      </c>
      <c r="M29" s="43">
        <f ca="1">194.1*OFFSET(M$112,MATCH($N$1,$C$112:$C$113,0)-1,0)</f>
        <v>194.1</v>
      </c>
      <c r="N29" s="43">
        <v>262.8</v>
      </c>
      <c r="O29" s="29">
        <f t="shared" ca="1" si="0"/>
        <v>0.56428571428571439</v>
      </c>
      <c r="P29" s="29">
        <f t="shared" ca="1" si="1"/>
        <v>-0.2657166806370494</v>
      </c>
    </row>
    <row r="30" spans="1:16" ht="18" customHeight="1" x14ac:dyDescent="0.2">
      <c r="A30" s="199"/>
      <c r="B30" s="37" t="s">
        <v>72</v>
      </c>
      <c r="C30" s="33"/>
      <c r="D30" s="33">
        <f ca="1">51.1*OFFSET(D$112,MATCH($N$1,$C$112:$C$113,0)-1,0)</f>
        <v>51.1</v>
      </c>
      <c r="E30" s="33">
        <f ca="1">39.4*OFFSET(E$112,MATCH($N$1,$C$112:$C$113,0)-1,0)</f>
        <v>39.4</v>
      </c>
      <c r="F30" s="33">
        <f ca="1">36.5*OFFSET(F$112,MATCH($N$1,$C$112:$C$113,0)-1,0)</f>
        <v>36.5</v>
      </c>
      <c r="G30" s="33">
        <f ca="1">45*OFFSET(G$112,MATCH($N$1,$C$112:$C$113,0)-1,0)</f>
        <v>45</v>
      </c>
      <c r="H30" s="33">
        <f ca="1">24*OFFSET(H$112,MATCH($N$1,$C$112:$C$113,0)-1,0)</f>
        <v>24</v>
      </c>
      <c r="I30" s="33">
        <f ca="1">30.2*OFFSET(I$112,MATCH($N$1,$C$112:$C$113,0)-1,0)</f>
        <v>30.2</v>
      </c>
      <c r="J30" s="33">
        <f ca="1">48*OFFSET(J$112,MATCH($N$1,$C$112:$C$113,0)-1,0)</f>
        <v>48</v>
      </c>
      <c r="K30" s="33">
        <f ca="1">59.4*OFFSET(K$112,MATCH($N$1,$C$112:$C$113,0)-1,0)</f>
        <v>59.4</v>
      </c>
      <c r="L30" s="33">
        <f ca="1">61.2*OFFSET(L$112,MATCH($N$1,$C$112:$C$113,0)-1,0)</f>
        <v>61.2</v>
      </c>
      <c r="M30" s="33">
        <f ca="1">33.7*OFFSET(M$112,MATCH($N$1,$C$112:$C$113,0)-1,0)</f>
        <v>33.700000000000003</v>
      </c>
      <c r="N30" s="33">
        <v>59.7</v>
      </c>
      <c r="O30" s="29">
        <f t="shared" ca="1" si="0"/>
        <v>0.16829745596868886</v>
      </c>
      <c r="P30" s="29">
        <f t="shared" ca="1" si="1"/>
        <v>0.24375000000000005</v>
      </c>
    </row>
    <row r="31" spans="1:16" ht="18" customHeight="1" x14ac:dyDescent="0.2">
      <c r="A31" s="199"/>
      <c r="B31" s="37" t="s">
        <v>73</v>
      </c>
      <c r="C31" s="33"/>
      <c r="D31" s="33">
        <f ca="1">31.6*OFFSET(D$112,MATCH($N$1,$C$112:$C$113,0)-1,0)</f>
        <v>31.6</v>
      </c>
      <c r="E31" s="33">
        <f ca="1">20.6*OFFSET(E$112,MATCH($N$1,$C$112:$C$113,0)-1,0)</f>
        <v>20.6</v>
      </c>
      <c r="F31" s="33">
        <f ca="1">35.8*OFFSET(F$112,MATCH($N$1,$C$112:$C$113,0)-1,0)</f>
        <v>35.799999999999997</v>
      </c>
      <c r="G31" s="33">
        <f ca="1">36.2*OFFSET(G$112,MATCH($N$1,$C$112:$C$113,0)-1,0)</f>
        <v>36.200000000000003</v>
      </c>
      <c r="H31" s="33">
        <f ca="1">34.4*OFFSET(H$112,MATCH($N$1,$C$112:$C$113,0)-1,0)</f>
        <v>34.4</v>
      </c>
      <c r="I31" s="33">
        <f ca="1">24.3*OFFSET(I$112,MATCH($N$1,$C$112:$C$113,0)-1,0)</f>
        <v>24.3</v>
      </c>
      <c r="J31" s="33">
        <f ca="1">84.2*OFFSET(J$112,MATCH($N$1,$C$112:$C$113,0)-1,0)</f>
        <v>84.2</v>
      </c>
      <c r="K31" s="33">
        <f ca="1">111*OFFSET(K$112,MATCH($N$1,$C$112:$C$113,0)-1,0)</f>
        <v>111</v>
      </c>
      <c r="L31" s="33">
        <f ca="1">130.2*OFFSET(L$112,MATCH($N$1,$C$112:$C$113,0)-1,0)</f>
        <v>130.19999999999999</v>
      </c>
      <c r="M31" s="33">
        <f ca="1">58.3*OFFSET(M$112,MATCH($N$1,$C$112:$C$113,0)-1,0)</f>
        <v>58.3</v>
      </c>
      <c r="N31" s="33">
        <v>89.4</v>
      </c>
      <c r="O31" s="29">
        <f t="shared" ca="1" si="0"/>
        <v>1.8291139240506329</v>
      </c>
      <c r="P31" s="29">
        <f t="shared" ca="1" si="1"/>
        <v>6.1757719714964403E-2</v>
      </c>
    </row>
    <row r="32" spans="1:16" ht="18" customHeight="1" x14ac:dyDescent="0.2">
      <c r="A32" s="199"/>
      <c r="B32" s="37" t="s">
        <v>74</v>
      </c>
      <c r="C32" s="33"/>
      <c r="D32" s="33">
        <f ca="1">30.2*OFFSET(D$112,MATCH($N$1,$C$112:$C$113,0)-1,0)</f>
        <v>30.2</v>
      </c>
      <c r="E32" s="33">
        <f ca="1">31.2*OFFSET(E$112,MATCH($N$1,$C$112:$C$113,0)-1,0)</f>
        <v>31.2</v>
      </c>
      <c r="F32" s="33">
        <f ca="1">17.5*OFFSET(F$112,MATCH($N$1,$C$112:$C$113,0)-1,0)</f>
        <v>17.5</v>
      </c>
      <c r="G32" s="33">
        <f ca="1">56*OFFSET(G$112,MATCH($N$1,$C$112:$C$113,0)-1,0)</f>
        <v>56</v>
      </c>
      <c r="H32" s="33">
        <f ca="1">15.5*OFFSET(H$112,MATCH($N$1,$C$112:$C$113,0)-1,0)</f>
        <v>15.5</v>
      </c>
      <c r="I32" s="33">
        <f ca="1">37.3*OFFSET(I$112,MATCH($N$1,$C$112:$C$113,0)-1,0)</f>
        <v>37.299999999999997</v>
      </c>
      <c r="J32" s="33">
        <f ca="1">57.1*OFFSET(J$112,MATCH($N$1,$C$112:$C$113,0)-1,0)</f>
        <v>57.1</v>
      </c>
      <c r="K32" s="33">
        <f ca="1">77.5*OFFSET(K$112,MATCH($N$1,$C$112:$C$113,0)-1,0)</f>
        <v>77.5</v>
      </c>
      <c r="L32" s="33">
        <f ca="1">66.7*OFFSET(L$112,MATCH($N$1,$C$112:$C$113,0)-1,0)</f>
        <v>66.7</v>
      </c>
      <c r="M32" s="33">
        <f ca="1">34.8*OFFSET(M$112,MATCH($N$1,$C$112:$C$113,0)-1,0)</f>
        <v>34.799999999999997</v>
      </c>
      <c r="N32" s="33">
        <v>55.6</v>
      </c>
      <c r="O32" s="29">
        <f t="shared" ca="1" si="0"/>
        <v>0.8410596026490067</v>
      </c>
      <c r="P32" s="29">
        <f t="shared" ca="1" si="1"/>
        <v>-2.6269702276707531E-2</v>
      </c>
    </row>
    <row r="33" spans="1:16" ht="18" customHeight="1" x14ac:dyDescent="0.2">
      <c r="A33" s="199"/>
      <c r="B33" s="37" t="s">
        <v>75</v>
      </c>
      <c r="C33" s="33"/>
      <c r="D33" s="33">
        <f ca="1">112.9*OFFSET(D$112,MATCH($N$1,$C$112:$C$113,0)-1,0)</f>
        <v>112.9</v>
      </c>
      <c r="E33" s="33">
        <f ca="1">91.2*OFFSET(E$112,MATCH($N$1,$C$112:$C$113,0)-1,0)</f>
        <v>91.2</v>
      </c>
      <c r="F33" s="33">
        <f ca="1">89.7*OFFSET(F$112,MATCH($N$1,$C$112:$C$113,0)-1,0)</f>
        <v>89.7</v>
      </c>
      <c r="G33" s="33">
        <f ca="1">137.2*OFFSET(G$112,MATCH($N$1,$C$112:$C$113,0)-1,0)</f>
        <v>137.19999999999999</v>
      </c>
      <c r="H33" s="33">
        <f ca="1">74*OFFSET(H$112,MATCH($N$1,$C$112:$C$113,0)-1,0)</f>
        <v>74</v>
      </c>
      <c r="I33" s="33">
        <f ca="1">91.8*OFFSET(I$112,MATCH($N$1,$C$112:$C$113,0)-1,0)</f>
        <v>91.8</v>
      </c>
      <c r="J33" s="33">
        <f ca="1">189.3*OFFSET(J$112,MATCH($N$1,$C$112:$C$113,0)-1,0)</f>
        <v>189.3</v>
      </c>
      <c r="K33" s="33">
        <f ca="1">247.9*OFFSET(K$112,MATCH($N$1,$C$112:$C$113,0)-1,0)</f>
        <v>247.9</v>
      </c>
      <c r="L33" s="33">
        <f ca="1">258.2*OFFSET(L$112,MATCH($N$1,$C$112:$C$113,0)-1,0)</f>
        <v>258.2</v>
      </c>
      <c r="M33" s="33">
        <f ca="1">126.8*OFFSET(M$112,MATCH($N$1,$C$112:$C$113,0)-1,0)</f>
        <v>126.8</v>
      </c>
      <c r="N33" s="33">
        <v>204.70000000000002</v>
      </c>
      <c r="O33" s="29">
        <f t="shared" ca="1" si="0"/>
        <v>0.81310894596988492</v>
      </c>
      <c r="P33" s="29">
        <f t="shared" ca="1" si="1"/>
        <v>8.135235076597995E-2</v>
      </c>
    </row>
    <row r="34" spans="1:16" ht="18" customHeight="1" x14ac:dyDescent="0.2">
      <c r="A34" s="199"/>
      <c r="B34" s="37" t="s">
        <v>76</v>
      </c>
      <c r="C34" s="33"/>
      <c r="D34" s="33">
        <f ca="1">44.2*OFFSET(D$112,MATCH($N$1,$C$112:$C$113,0)-1,0)</f>
        <v>44.2</v>
      </c>
      <c r="E34" s="33">
        <f ca="1">44.3*OFFSET(E$112,MATCH($N$1,$C$112:$C$113,0)-1,0)</f>
        <v>44.3</v>
      </c>
      <c r="F34" s="33">
        <f ca="1">23.2*OFFSET(F$112,MATCH($N$1,$C$112:$C$113,0)-1,0)</f>
        <v>23.2</v>
      </c>
      <c r="G34" s="33">
        <f ca="1">53.8*OFFSET(G$112,MATCH($N$1,$C$112:$C$113,0)-1,0)</f>
        <v>53.8</v>
      </c>
      <c r="H34" s="33">
        <f ca="1">45.7*OFFSET(H$112,MATCH($N$1,$C$112:$C$113,0)-1,0)</f>
        <v>45.7</v>
      </c>
      <c r="I34" s="33">
        <f ca="1">77*OFFSET(I$112,MATCH($N$1,$C$112:$C$113,0)-1,0)</f>
        <v>77</v>
      </c>
      <c r="J34" s="33">
        <f ca="1">105*OFFSET(J$112,MATCH($N$1,$C$112:$C$113,0)-1,0)</f>
        <v>105</v>
      </c>
      <c r="K34" s="33">
        <f ca="1">103.5*OFFSET(K$112,MATCH($N$1,$C$112:$C$113,0)-1,0)</f>
        <v>103.5</v>
      </c>
      <c r="L34" s="33">
        <f ca="1">110.9*OFFSET(L$112,MATCH($N$1,$C$112:$C$113,0)-1,0)</f>
        <v>110.9</v>
      </c>
      <c r="M34" s="33">
        <f ca="1">61.1*OFFSET(M$112,MATCH($N$1,$C$112:$C$113,0)-1,0)</f>
        <v>61.1</v>
      </c>
      <c r="N34" s="33">
        <v>66.400000000000006</v>
      </c>
      <c r="O34" s="29">
        <f t="shared" ca="1" si="0"/>
        <v>0.50226244343891402</v>
      </c>
      <c r="P34" s="29">
        <f t="shared" ca="1" si="1"/>
        <v>-0.36761904761904757</v>
      </c>
    </row>
    <row r="35" spans="1:16" ht="18" customHeight="1" x14ac:dyDescent="0.2">
      <c r="A35" s="199"/>
      <c r="B35" s="37" t="s">
        <v>77</v>
      </c>
      <c r="C35" s="33"/>
      <c r="D35" s="33">
        <f ca="1">157.1*OFFSET(D$112,MATCH($N$1,$C$112:$C$113,0)-1,0)</f>
        <v>157.1</v>
      </c>
      <c r="E35" s="33">
        <f ca="1">135.5*OFFSET(E$112,MATCH($N$1,$C$112:$C$113,0)-1,0)</f>
        <v>135.5</v>
      </c>
      <c r="F35" s="33">
        <f ca="1">112.9*OFFSET(F$112,MATCH($N$1,$C$112:$C$113,0)-1,0)</f>
        <v>112.9</v>
      </c>
      <c r="G35" s="33">
        <f ca="1">191*OFFSET(G$112,MATCH($N$1,$C$112:$C$113,0)-1,0)</f>
        <v>191</v>
      </c>
      <c r="H35" s="33">
        <f ca="1">119.7*OFFSET(H$112,MATCH($N$1,$C$112:$C$113,0)-1,0)</f>
        <v>119.7</v>
      </c>
      <c r="I35" s="33">
        <f ca="1">168.8*OFFSET(I$112,MATCH($N$1,$C$112:$C$113,0)-1,0)</f>
        <v>168.8</v>
      </c>
      <c r="J35" s="33">
        <f ca="1">294.3*OFFSET(J$112,MATCH($N$1,$C$112:$C$113,0)-1,0)</f>
        <v>294.3</v>
      </c>
      <c r="K35" s="33">
        <f ca="1">351.4*OFFSET(K$112,MATCH($N$1,$C$112:$C$113,0)-1,0)</f>
        <v>351.4</v>
      </c>
      <c r="L35" s="33">
        <f ca="1">369.2*OFFSET(L$112,MATCH($N$1,$C$112:$C$113,0)-1,0)</f>
        <v>369.2</v>
      </c>
      <c r="M35" s="33">
        <f ca="1">188*OFFSET(M$112,MATCH($N$1,$C$112:$C$113,0)-1,0)</f>
        <v>188</v>
      </c>
      <c r="N35" s="33">
        <v>271.2</v>
      </c>
      <c r="O35" s="29">
        <f t="shared" ca="1" si="0"/>
        <v>0.72628898790579244</v>
      </c>
      <c r="P35" s="29">
        <f t="shared" ca="1" si="1"/>
        <v>-7.8491335372069385E-2</v>
      </c>
    </row>
    <row r="36" spans="1:16" ht="18" customHeight="1" x14ac:dyDescent="0.2">
      <c r="A36" s="199"/>
      <c r="B36" s="42" t="s">
        <v>78</v>
      </c>
      <c r="C36" s="43"/>
      <c r="D36" s="43">
        <f ca="1">42.5*OFFSET(D$112,MATCH($N$1,$C$112:$C$113,0)-1,0)</f>
        <v>42.5</v>
      </c>
      <c r="E36" s="43">
        <f ca="1">33.8*OFFSET(E$112,MATCH($N$1,$C$112:$C$113,0)-1,0)</f>
        <v>33.799999999999997</v>
      </c>
      <c r="F36" s="43">
        <f ca="1">54.5*OFFSET(F$112,MATCH($N$1,$C$112:$C$113,0)-1,0)</f>
        <v>54.5</v>
      </c>
      <c r="G36" s="43">
        <f ca="1">62.9*OFFSET(G$112,MATCH($N$1,$C$112:$C$113,0)-1,0)</f>
        <v>62.9</v>
      </c>
      <c r="H36" s="43">
        <f ca="1">64.6*OFFSET(H$112,MATCH($N$1,$C$112:$C$113,0)-1,0)</f>
        <v>64.599999999999994</v>
      </c>
      <c r="I36" s="43">
        <f ca="1">79.2*OFFSET(I$112,MATCH($N$1,$C$112:$C$113,0)-1,0)</f>
        <v>79.2</v>
      </c>
      <c r="J36" s="43">
        <f ca="1">147.8*OFFSET(J$112,MATCH($N$1,$C$112:$C$113,0)-1,0)</f>
        <v>147.80000000000001</v>
      </c>
      <c r="K36" s="43">
        <f ca="1">181*OFFSET(K$112,MATCH($N$1,$C$112:$C$113,0)-1,0)</f>
        <v>181</v>
      </c>
      <c r="L36" s="43">
        <f ca="1">227.1*OFFSET(L$112,MATCH($N$1,$C$112:$C$113,0)-1,0)</f>
        <v>227.1</v>
      </c>
      <c r="M36" s="43">
        <f ca="1">64.5*OFFSET(M$112,MATCH($N$1,$C$112:$C$113,0)-1,0)</f>
        <v>64.5</v>
      </c>
      <c r="N36" s="43">
        <v>81</v>
      </c>
      <c r="O36" s="29">
        <f t="shared" ca="1" si="0"/>
        <v>0.90588235294117647</v>
      </c>
      <c r="P36" s="29">
        <f t="shared" ca="1" si="1"/>
        <v>-0.45196211096075783</v>
      </c>
    </row>
    <row r="37" spans="1:16" ht="18" customHeight="1" x14ac:dyDescent="0.2">
      <c r="A37" s="199"/>
      <c r="B37" s="42" t="s">
        <v>79</v>
      </c>
      <c r="C37" s="43"/>
      <c r="D37" s="43">
        <f ca="1">10.9*OFFSET(D$112,MATCH($N$1,$C$112:$C$113,0)-1,0)</f>
        <v>10.9</v>
      </c>
      <c r="E37" s="43">
        <f ca="1">13.2*OFFSET(E$112,MATCH($N$1,$C$112:$C$113,0)-1,0)</f>
        <v>13.2</v>
      </c>
      <c r="F37" s="43">
        <f ca="1">18.7*OFFSET(F$112,MATCH($N$1,$C$112:$C$113,0)-1,0)</f>
        <v>18.7</v>
      </c>
      <c r="G37" s="43">
        <f ca="1">26.7*OFFSET(G$112,MATCH($N$1,$C$112:$C$113,0)-1,0)</f>
        <v>26.7</v>
      </c>
      <c r="H37" s="43">
        <f ca="1">30.2*OFFSET(H$112,MATCH($N$1,$C$112:$C$113,0)-1,0)</f>
        <v>30.2</v>
      </c>
      <c r="I37" s="43">
        <f ca="1">54.9*OFFSET(I$112,MATCH($N$1,$C$112:$C$113,0)-1,0)</f>
        <v>54.9</v>
      </c>
      <c r="J37" s="43">
        <f ca="1">63.6*OFFSET(J$112,MATCH($N$1,$C$112:$C$113,0)-1,0)</f>
        <v>63.6</v>
      </c>
      <c r="K37" s="43">
        <f ca="1">70*OFFSET(K$112,MATCH($N$1,$C$112:$C$113,0)-1,0)</f>
        <v>70</v>
      </c>
      <c r="L37" s="43">
        <f ca="1">96.9*OFFSET(L$112,MATCH($N$1,$C$112:$C$113,0)-1,0)</f>
        <v>96.9</v>
      </c>
      <c r="M37" s="43">
        <f ca="1">6.2*OFFSET(M$112,MATCH($N$1,$C$112:$C$113,0)-1,0)</f>
        <v>6.2</v>
      </c>
      <c r="N37" s="43">
        <v>-8.4</v>
      </c>
      <c r="O37" s="29">
        <f t="shared" ca="1" si="0"/>
        <v>-1.7706422018348624</v>
      </c>
      <c r="P37" s="29">
        <f t="shared" ca="1" si="1"/>
        <v>-1.1320754716981132</v>
      </c>
    </row>
    <row r="38" spans="1:16" ht="18" customHeight="1" x14ac:dyDescent="0.2">
      <c r="A38" s="199"/>
      <c r="B38" s="37" t="s">
        <v>80</v>
      </c>
      <c r="C38" s="33"/>
      <c r="D38" s="33">
        <f ca="1">13.8*OFFSET(D$112,MATCH($N$1,$C$112:$C$113,0)-1,0)</f>
        <v>13.8</v>
      </c>
      <c r="E38" s="33"/>
      <c r="F38" s="33">
        <f ca="1">6*OFFSET(F$112,MATCH($N$1,$C$112:$C$113,0)-1,0)</f>
        <v>6</v>
      </c>
      <c r="G38" s="33">
        <f ca="1">2*OFFSET(G$112,MATCH($N$1,$C$112:$C$113,0)-1,0)</f>
        <v>2</v>
      </c>
      <c r="H38" s="33">
        <f ca="1">3.9*OFFSET(H$112,MATCH($N$1,$C$112:$C$113,0)-1,0)</f>
        <v>3.9</v>
      </c>
      <c r="I38" s="33"/>
      <c r="J38" s="33">
        <f ca="1">2.7*OFFSET(J$112,MATCH($N$1,$C$112:$C$113,0)-1,0)</f>
        <v>2.7</v>
      </c>
      <c r="K38" s="33">
        <f ca="1">5*OFFSET(K$112,MATCH($N$1,$C$112:$C$113,0)-1,0)</f>
        <v>5</v>
      </c>
      <c r="L38" s="33">
        <f ca="1">11.2*OFFSET(L$112,MATCH($N$1,$C$112:$C$113,0)-1,0)</f>
        <v>11.2</v>
      </c>
      <c r="M38" s="33">
        <f ca="1">7.3*OFFSET(M$112,MATCH($N$1,$C$112:$C$113,0)-1,0)</f>
        <v>7.3</v>
      </c>
      <c r="N38" s="33"/>
      <c r="O38" s="29" t="str">
        <f t="shared" si="0"/>
        <v/>
      </c>
      <c r="P38" s="29" t="str">
        <f t="shared" si="1"/>
        <v/>
      </c>
    </row>
    <row r="39" spans="1:16" ht="18" customHeight="1" x14ac:dyDescent="0.2">
      <c r="A39" s="199"/>
      <c r="B39" s="37" t="s">
        <v>81</v>
      </c>
      <c r="C39" s="33"/>
      <c r="D39" s="33"/>
      <c r="E39" s="33"/>
      <c r="F39" s="33">
        <f ca="1">0.4*OFFSET(F$112,MATCH($N$1,$C$112:$C$113,0)-1,0)</f>
        <v>0.4</v>
      </c>
      <c r="G39" s="33"/>
      <c r="H39" s="33">
        <f ca="1">7.9*OFFSET(H$112,MATCH($N$1,$C$112:$C$113,0)-1,0)</f>
        <v>7.9</v>
      </c>
      <c r="I39" s="33">
        <f ca="1">8.4*OFFSET(I$112,MATCH($N$1,$C$112:$C$113,0)-1,0)</f>
        <v>8.4</v>
      </c>
      <c r="J39" s="33">
        <f ca="1">9.7*OFFSET(J$112,MATCH($N$1,$C$112:$C$113,0)-1,0)</f>
        <v>9.6999999999999993</v>
      </c>
      <c r="K39" s="33">
        <f ca="1">7.2*OFFSET(K$112,MATCH($N$1,$C$112:$C$113,0)-1,0)</f>
        <v>7.2</v>
      </c>
      <c r="L39" s="33">
        <f ca="1">2.6*OFFSET(L$112,MATCH($N$1,$C$112:$C$113,0)-1,0)</f>
        <v>2.6</v>
      </c>
      <c r="M39" s="33">
        <f ca="1">4*OFFSET(M$112,MATCH($N$1,$C$112:$C$113,0)-1,0)</f>
        <v>4</v>
      </c>
      <c r="N39" s="33"/>
      <c r="O39" s="29" t="str">
        <f t="shared" si="0"/>
        <v/>
      </c>
      <c r="P39" s="29" t="str">
        <f t="shared" si="1"/>
        <v/>
      </c>
    </row>
    <row r="40" spans="1:16" ht="18" customHeight="1" x14ac:dyDescent="0.2">
      <c r="A40" s="199"/>
      <c r="B40" s="37" t="s">
        <v>82</v>
      </c>
      <c r="C40" s="33"/>
      <c r="D40" s="33"/>
      <c r="E40" s="33"/>
      <c r="F40" s="33"/>
      <c r="G40" s="33"/>
      <c r="H40" s="33"/>
      <c r="I40" s="33"/>
      <c r="J40" s="33">
        <f ca="1">1.5*OFFSET(J$112,MATCH($N$1,$C$112:$C$113,0)-1,0)</f>
        <v>1.5</v>
      </c>
      <c r="K40" s="33">
        <f ca="1">0.7*OFFSET(K$112,MATCH($N$1,$C$112:$C$113,0)-1,0)</f>
        <v>0.7</v>
      </c>
      <c r="L40" s="33">
        <f ca="1">4.5*OFFSET(L$112,MATCH($N$1,$C$112:$C$113,0)-1,0)</f>
        <v>4.5</v>
      </c>
      <c r="M40" s="33">
        <f ca="1">20.4*OFFSET(M$112,MATCH($N$1,$C$112:$C$113,0)-1,0)</f>
        <v>20.399999999999999</v>
      </c>
      <c r="N40" s="33"/>
      <c r="O40" s="29" t="str">
        <f t="shared" si="0"/>
        <v/>
      </c>
      <c r="P40" s="29" t="str">
        <f t="shared" si="1"/>
        <v/>
      </c>
    </row>
    <row r="41" spans="1:16" ht="18" customHeight="1" thickBot="1" x14ac:dyDescent="0.25">
      <c r="A41" s="200"/>
      <c r="B41" s="44" t="s">
        <v>83</v>
      </c>
      <c r="C41" s="45"/>
      <c r="D41" s="45">
        <f ca="1">-3*OFFSET(D$112,MATCH($N$1,$C$112:$C$113,0)-1,0)</f>
        <v>-3</v>
      </c>
      <c r="E41" s="45"/>
      <c r="F41" s="45">
        <f ca="1">12.3*OFFSET(F$112,MATCH($N$1,$C$112:$C$113,0)-1,0)</f>
        <v>12.3</v>
      </c>
      <c r="G41" s="45">
        <f ca="1">24.7*OFFSET(G$112,MATCH($N$1,$C$112:$C$113,0)-1,0)</f>
        <v>24.7</v>
      </c>
      <c r="H41" s="45">
        <f ca="1">18.4*OFFSET(H$112,MATCH($N$1,$C$112:$C$113,0)-1,0)</f>
        <v>18.399999999999999</v>
      </c>
      <c r="I41" s="45">
        <f ca="1">46.5*OFFSET(I$112,MATCH($N$1,$C$112:$C$113,0)-1,0)</f>
        <v>46.5</v>
      </c>
      <c r="J41" s="45">
        <f ca="1">49.7*OFFSET(J$112,MATCH($N$1,$C$112:$C$113,0)-1,0)</f>
        <v>49.7</v>
      </c>
      <c r="K41" s="45">
        <f ca="1">57.1*OFFSET(K$112,MATCH($N$1,$C$112:$C$113,0)-1,0)</f>
        <v>57.1</v>
      </c>
      <c r="L41" s="45">
        <f ca="1">78.6*OFFSET(L$112,MATCH($N$1,$C$112:$C$113,0)-1,0)</f>
        <v>78.599999999999994</v>
      </c>
      <c r="M41" s="45">
        <f ca="1">-55*OFFSET(M$112,MATCH($N$1,$C$112:$C$113,0)-1,0)</f>
        <v>-55</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21</v>
      </c>
      <c r="F46" s="94" t="s">
        <v>22</v>
      </c>
      <c r="G46" s="94" t="s">
        <v>22</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Area VIIA demersal trawl</v>
      </c>
      <c r="C48" s="96"/>
      <c r="D48" s="96"/>
      <c r="E48" s="96"/>
      <c r="F48" s="96"/>
      <c r="G48" s="96"/>
      <c r="K48" s="96" t="str">
        <f>$B24&amp;CHAR(10)&amp;$A$1</f>
        <v>Operating profit per kW day at sea (£)
Area VIIA demersal trawl</v>
      </c>
    </row>
    <row r="49" spans="1:11" s="82" customFormat="1" x14ac:dyDescent="0.2">
      <c r="A49" s="96" t="str">
        <f>$B22&amp;CHAR(10)&amp;$A$1</f>
        <v>Fishing income per kW day at sea (£)
Area VIIA demersal trawl</v>
      </c>
    </row>
    <row r="50" spans="1:11" s="82" customFormat="1" x14ac:dyDescent="0.2">
      <c r="A50" s="96" t="str">
        <f>$B20&amp;CHAR(10)&amp;$A$1</f>
        <v>Average price per tonne landed (£)
Area VIIA demersal trawl</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Area VIIA demersal trawl</v>
      </c>
      <c r="F62" s="96" t="str">
        <f>$B20&amp;CHAR(10)&amp;$A$1</f>
        <v>Average price per tonne landed (£)
Area VIIA demersal trawl</v>
      </c>
      <c r="K62" s="96" t="str">
        <f>"Average annual operating profit per vessel (£'000)"&amp;CHAR(10)&amp;$A$1</f>
        <v>Average annual operating profit per vessel (£'000)
Area VIIA demersal trawl</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Area VIIA demersal trawl</v>
      </c>
      <c r="F76" s="96" t="str">
        <f>"Top 5 landed species by value in "&amp;A77&amp;CHAR(10)&amp;A1</f>
        <v>Top 5 landed species by value in 2020
Area VIIA demersal trawl</v>
      </c>
    </row>
    <row r="77" spans="1:11" s="96" customFormat="1" x14ac:dyDescent="0.2">
      <c r="A77" s="96">
        <v>2020</v>
      </c>
      <c r="B77" s="96" t="s">
        <v>85</v>
      </c>
      <c r="C77" s="97">
        <v>0.59495204684464253</v>
      </c>
      <c r="D77" s="98">
        <v>12153634</v>
      </c>
      <c r="G77" s="96" t="s">
        <v>86</v>
      </c>
      <c r="H77" s="97">
        <v>0.52329003868456203</v>
      </c>
      <c r="I77" s="98">
        <v>12153634</v>
      </c>
      <c r="K77" s="96" t="s">
        <v>87</v>
      </c>
    </row>
    <row r="78" spans="1:11" s="96" customFormat="1" x14ac:dyDescent="0.2">
      <c r="B78" s="96" t="s">
        <v>88</v>
      </c>
      <c r="C78" s="97">
        <v>8.9844439943561658E-2</v>
      </c>
      <c r="D78" s="98">
        <v>3050596</v>
      </c>
      <c r="G78" s="96" t="s">
        <v>89</v>
      </c>
      <c r="H78" s="97">
        <v>0.16447450982095024</v>
      </c>
      <c r="I78" s="98">
        <v>553960</v>
      </c>
    </row>
    <row r="79" spans="1:11" s="96" customFormat="1" x14ac:dyDescent="0.2">
      <c r="B79" s="96" t="s">
        <v>90</v>
      </c>
      <c r="C79" s="97">
        <v>8.7132727325268569E-2</v>
      </c>
      <c r="D79" s="98">
        <v>553960</v>
      </c>
      <c r="G79" s="96" t="s">
        <v>91</v>
      </c>
      <c r="H79" s="97">
        <v>0.12541912798798482</v>
      </c>
      <c r="I79" s="98">
        <v>3050596</v>
      </c>
    </row>
    <row r="80" spans="1:11" s="96" customFormat="1" x14ac:dyDescent="0.2">
      <c r="B80" s="96" t="s">
        <v>92</v>
      </c>
      <c r="C80" s="97">
        <v>4.2812668250329554E-2</v>
      </c>
      <c r="D80" s="98">
        <v>1692097</v>
      </c>
      <c r="G80" s="96" t="s">
        <v>93</v>
      </c>
      <c r="H80" s="97">
        <v>5.0402267609020501E-2</v>
      </c>
      <c r="I80" s="98">
        <v>1692097</v>
      </c>
    </row>
    <row r="81" spans="1:19" s="96" customFormat="1" x14ac:dyDescent="0.2">
      <c r="B81" s="96" t="s">
        <v>94</v>
      </c>
      <c r="C81" s="97">
        <v>2.9814022329834239E-2</v>
      </c>
      <c r="D81" s="98">
        <v>11115023</v>
      </c>
      <c r="G81" s="96" t="s">
        <v>95</v>
      </c>
      <c r="H81" s="97">
        <v>3.533585332108078E-2</v>
      </c>
      <c r="I81" s="98">
        <v>3689192</v>
      </c>
    </row>
    <row r="82" spans="1:19" s="96" customFormat="1" x14ac:dyDescent="0.2">
      <c r="B82" s="96" t="s">
        <v>96</v>
      </c>
      <c r="C82" s="97">
        <v>0.15544409530636349</v>
      </c>
      <c r="D82" s="98">
        <v>5920853</v>
      </c>
      <c r="G82" s="96" t="s">
        <v>97</v>
      </c>
      <c r="H82" s="97">
        <v>0.10107820257640165</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20</v>
      </c>
      <c r="D92" s="102"/>
      <c r="E92" s="102"/>
      <c r="F92" s="102">
        <v>0.18475703770282353</v>
      </c>
      <c r="G92" s="102">
        <v>0.18509473775805435</v>
      </c>
      <c r="H92" s="102">
        <v>0.14096411023913055</v>
      </c>
      <c r="I92" s="102">
        <v>0.31289612791705923</v>
      </c>
      <c r="J92" s="102">
        <v>0.53611858184830874</v>
      </c>
      <c r="K92" s="102">
        <v>0.40628106551979815</v>
      </c>
      <c r="L92" s="102">
        <v>0.52329003868456203</v>
      </c>
      <c r="M92" s="102">
        <v>0.4105985897896583</v>
      </c>
      <c r="O92" s="96">
        <v>12153634</v>
      </c>
    </row>
    <row r="93" spans="1:19" s="96" customFormat="1" hidden="1" x14ac:dyDescent="0.2">
      <c r="B93" s="96">
        <v>2</v>
      </c>
      <c r="C93" s="96" t="s">
        <v>98</v>
      </c>
      <c r="D93" s="102">
        <v>4.1365200959741423E-2</v>
      </c>
      <c r="E93" s="102"/>
      <c r="F93" s="102">
        <v>1.5140846160567881E-2</v>
      </c>
      <c r="G93" s="102"/>
      <c r="H93" s="102"/>
      <c r="I93" s="102"/>
      <c r="J93" s="102">
        <v>6.1363132431618832E-2</v>
      </c>
      <c r="K93" s="102">
        <v>0.11965600146536562</v>
      </c>
      <c r="L93" s="102">
        <v>0.16447450982095024</v>
      </c>
      <c r="M93" s="102">
        <v>0.10599888957239167</v>
      </c>
      <c r="O93" s="96">
        <v>553960</v>
      </c>
    </row>
    <row r="94" spans="1:19" s="96" customFormat="1" hidden="1" x14ac:dyDescent="0.2">
      <c r="B94" s="96">
        <v>3</v>
      </c>
      <c r="C94" s="96" t="s">
        <v>99</v>
      </c>
      <c r="D94" s="102"/>
      <c r="E94" s="102"/>
      <c r="F94" s="102"/>
      <c r="G94" s="102"/>
      <c r="H94" s="102">
        <v>4.5681294881545459E-2</v>
      </c>
      <c r="I94" s="102">
        <v>8.8635586245856907E-2</v>
      </c>
      <c r="J94" s="102">
        <v>5.2552667179459236E-2</v>
      </c>
      <c r="K94" s="102">
        <v>7.0965070245495004E-2</v>
      </c>
      <c r="L94" s="102">
        <v>0.12541912798798482</v>
      </c>
      <c r="M94" s="102">
        <v>0.1284720718383898</v>
      </c>
      <c r="O94" s="96">
        <v>3050596</v>
      </c>
    </row>
    <row r="95" spans="1:19" s="96" customFormat="1" hidden="1" x14ac:dyDescent="0.2">
      <c r="B95" s="96">
        <v>4</v>
      </c>
      <c r="C95" s="96" t="s">
        <v>100</v>
      </c>
      <c r="D95" s="102">
        <v>0.20187957031932721</v>
      </c>
      <c r="E95" s="102">
        <v>0.38733157832894249</v>
      </c>
      <c r="F95" s="102">
        <v>0.3340953238772762</v>
      </c>
      <c r="G95" s="102">
        <v>0.33304159522524074</v>
      </c>
      <c r="H95" s="102">
        <v>0.34433358385336416</v>
      </c>
      <c r="I95" s="102">
        <v>0.12983451718141792</v>
      </c>
      <c r="J95" s="102">
        <v>0.1065323825737563</v>
      </c>
      <c r="K95" s="102">
        <v>6.6300255701473063E-2</v>
      </c>
      <c r="L95" s="102">
        <v>5.0402267609020501E-2</v>
      </c>
      <c r="M95" s="102">
        <v>0.16930296796209612</v>
      </c>
      <c r="O95" s="96">
        <v>1692097</v>
      </c>
    </row>
    <row r="96" spans="1:19" s="96" customFormat="1" hidden="1" x14ac:dyDescent="0.2">
      <c r="B96" s="96">
        <v>5</v>
      </c>
      <c r="C96" s="96" t="s">
        <v>101</v>
      </c>
      <c r="D96" s="102"/>
      <c r="E96" s="102"/>
      <c r="F96" s="102"/>
      <c r="G96" s="102"/>
      <c r="H96" s="102"/>
      <c r="I96" s="102"/>
      <c r="J96" s="102"/>
      <c r="K96" s="102"/>
      <c r="L96" s="102">
        <v>3.533585332108078E-2</v>
      </c>
      <c r="M96" s="102"/>
      <c r="O96" s="96">
        <v>3689192</v>
      </c>
    </row>
    <row r="97" spans="1:15" s="96" customFormat="1" hidden="1" x14ac:dyDescent="0.2">
      <c r="B97" s="96">
        <v>6</v>
      </c>
      <c r="C97" s="96" t="s">
        <v>102</v>
      </c>
      <c r="D97" s="102">
        <v>0.18043164003313855</v>
      </c>
      <c r="E97" s="102">
        <v>0.26683032314520816</v>
      </c>
      <c r="F97" s="102">
        <v>0.35806069120247969</v>
      </c>
      <c r="G97" s="102">
        <v>0.29548537650867479</v>
      </c>
      <c r="H97" s="102">
        <v>0.32708743049233968</v>
      </c>
      <c r="I97" s="102">
        <v>0.21896514602187631</v>
      </c>
      <c r="J97" s="102">
        <v>0.10699198893965008</v>
      </c>
      <c r="K97" s="102">
        <v>0.17620025921470323</v>
      </c>
      <c r="L97" s="102"/>
      <c r="M97" s="102">
        <v>9.9421123051917915E-2</v>
      </c>
      <c r="O97" s="96">
        <v>11115023</v>
      </c>
    </row>
    <row r="98" spans="1:15" s="96" customFormat="1" hidden="1" x14ac:dyDescent="0.2">
      <c r="B98" s="96">
        <v>7</v>
      </c>
      <c r="C98" s="96" t="s">
        <v>103</v>
      </c>
      <c r="D98" s="102"/>
      <c r="E98" s="102"/>
      <c r="F98" s="102"/>
      <c r="G98" s="102"/>
      <c r="H98" s="102"/>
      <c r="I98" s="102">
        <v>8.7506630479867273E-2</v>
      </c>
      <c r="J98" s="102"/>
      <c r="K98" s="102"/>
      <c r="L98" s="102"/>
      <c r="M98" s="102"/>
      <c r="O98" s="96">
        <v>2480382</v>
      </c>
    </row>
    <row r="99" spans="1:15" s="96" customFormat="1" hidden="1" x14ac:dyDescent="0.2">
      <c r="B99" s="96">
        <v>8</v>
      </c>
      <c r="C99" s="96" t="s">
        <v>104</v>
      </c>
      <c r="D99" s="102">
        <v>0.16313101833014876</v>
      </c>
      <c r="E99" s="102">
        <v>0.17533836455942456</v>
      </c>
      <c r="F99" s="102">
        <v>6.188177921772104E-2</v>
      </c>
      <c r="G99" s="102">
        <v>5.4731063819688765E-2</v>
      </c>
      <c r="H99" s="102">
        <v>5.6474940217567202E-2</v>
      </c>
      <c r="I99" s="102"/>
      <c r="J99" s="102"/>
      <c r="K99" s="102"/>
      <c r="L99" s="102"/>
      <c r="M99" s="102"/>
      <c r="O99" s="96">
        <v>7434864</v>
      </c>
    </row>
    <row r="100" spans="1:15" s="96" customFormat="1" hidden="1" x14ac:dyDescent="0.2">
      <c r="B100" s="96">
        <v>9</v>
      </c>
      <c r="C100" s="96" t="s">
        <v>105</v>
      </c>
      <c r="D100" s="102">
        <v>0.32259537662987819</v>
      </c>
      <c r="E100" s="102">
        <v>0.11232418758713179</v>
      </c>
      <c r="F100" s="102"/>
      <c r="G100" s="102">
        <v>4.8271957979587034E-2</v>
      </c>
      <c r="H100" s="102"/>
      <c r="I100" s="102"/>
      <c r="J100" s="102"/>
      <c r="K100" s="102"/>
      <c r="L100" s="102"/>
      <c r="M100" s="102"/>
      <c r="O100" s="96">
        <v>8497745</v>
      </c>
    </row>
    <row r="101" spans="1:15" s="96" customFormat="1" hidden="1" x14ac:dyDescent="0.2">
      <c r="B101" s="96">
        <v>10</v>
      </c>
      <c r="C101" s="96" t="s">
        <v>106</v>
      </c>
      <c r="D101" s="102"/>
      <c r="E101" s="102">
        <v>2.8402393700316105E-2</v>
      </c>
      <c r="F101" s="102"/>
      <c r="G101" s="102"/>
      <c r="H101" s="102"/>
      <c r="I101" s="102"/>
      <c r="J101" s="102"/>
      <c r="K101" s="102"/>
      <c r="L101" s="102"/>
      <c r="M101" s="102"/>
      <c r="O101" s="96">
        <v>14393110</v>
      </c>
    </row>
    <row r="102" spans="1:15" s="96" customFormat="1" hidden="1" x14ac:dyDescent="0.2">
      <c r="B102" s="96">
        <v>11</v>
      </c>
      <c r="C102" s="96" t="s">
        <v>107</v>
      </c>
      <c r="D102" s="102">
        <v>9.0597193727765868E-2</v>
      </c>
      <c r="E102" s="102">
        <v>2.9773152678976875E-2</v>
      </c>
      <c r="F102" s="102">
        <v>4.6064321839131686E-2</v>
      </c>
      <c r="G102" s="102">
        <v>8.3375268708754322E-2</v>
      </c>
      <c r="H102" s="102">
        <v>8.5458640316052936E-2</v>
      </c>
      <c r="I102" s="102">
        <v>0.16216199215392238</v>
      </c>
      <c r="J102" s="102">
        <v>0.13644124702720675</v>
      </c>
      <c r="K102" s="102">
        <v>0.16059734785316496</v>
      </c>
      <c r="L102" s="102">
        <v>0.1010782025764016</v>
      </c>
      <c r="M102" s="102">
        <v>8.6206357785546181E-2</v>
      </c>
      <c r="O102" s="96">
        <v>5920853</v>
      </c>
    </row>
    <row r="103" spans="1:15" s="96" customFormat="1" hidden="1" x14ac:dyDescent="0.2">
      <c r="B103" s="96">
        <v>12</v>
      </c>
      <c r="D103" s="102"/>
      <c r="E103" s="102"/>
      <c r="F103" s="102"/>
      <c r="G103" s="102"/>
      <c r="H103" s="102"/>
      <c r="I103" s="102"/>
      <c r="J103" s="102"/>
      <c r="K103" s="102"/>
      <c r="L103" s="102"/>
      <c r="M103" s="102"/>
      <c r="O103" s="96">
        <v>15057844</v>
      </c>
    </row>
    <row r="104" spans="1:15" s="96" customFormat="1" hidden="1" x14ac:dyDescent="0.2">
      <c r="B104" s="96">
        <v>13</v>
      </c>
      <c r="D104" s="102"/>
      <c r="E104" s="102"/>
      <c r="F104" s="102"/>
      <c r="G104" s="102"/>
      <c r="H104" s="102"/>
      <c r="I104" s="102"/>
      <c r="J104" s="102"/>
      <c r="K104" s="102"/>
      <c r="L104" s="102"/>
      <c r="M104" s="102"/>
      <c r="O104" s="96">
        <v>10603512</v>
      </c>
    </row>
    <row r="105" spans="1:15" s="96" customFormat="1" hidden="1" x14ac:dyDescent="0.2">
      <c r="B105" s="96">
        <v>14</v>
      </c>
      <c r="D105" s="102"/>
      <c r="E105" s="102"/>
      <c r="F105" s="102"/>
      <c r="G105" s="102"/>
      <c r="H105" s="102"/>
      <c r="I105" s="102"/>
      <c r="J105" s="102"/>
      <c r="K105" s="102"/>
      <c r="L105" s="102"/>
      <c r="M105" s="102"/>
      <c r="O105" s="96">
        <v>10931653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12</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t="s">
        <v>108</v>
      </c>
      <c r="D120" s="56" t="s">
        <v>108</v>
      </c>
      <c r="E120" s="56" t="s">
        <v>108</v>
      </c>
      <c r="F120" s="57">
        <v>7</v>
      </c>
    </row>
    <row r="121" spans="1:15" ht="18" customHeight="1" x14ac:dyDescent="0.2">
      <c r="A121" s="194" t="s">
        <v>27</v>
      </c>
      <c r="B121" s="35" t="s">
        <v>62</v>
      </c>
      <c r="C121" s="58"/>
      <c r="D121" s="58"/>
      <c r="E121" s="58"/>
      <c r="F121" s="59">
        <v>17.658571243286133</v>
      </c>
    </row>
    <row r="122" spans="1:15" ht="18" customHeight="1" x14ac:dyDescent="0.2">
      <c r="A122" s="195"/>
      <c r="B122" s="37" t="s">
        <v>55</v>
      </c>
      <c r="C122" s="60"/>
      <c r="D122" s="60"/>
      <c r="E122" s="60"/>
      <c r="F122" s="61">
        <v>312.71429443359375</v>
      </c>
    </row>
    <row r="123" spans="1:15" ht="18" customHeight="1" x14ac:dyDescent="0.2">
      <c r="A123" s="195"/>
      <c r="B123" s="37" t="s">
        <v>56</v>
      </c>
      <c r="C123" s="60"/>
      <c r="D123" s="60"/>
      <c r="E123" s="60"/>
      <c r="F123" s="61">
        <v>93.428573608398438</v>
      </c>
    </row>
    <row r="124" spans="1:15" ht="18" customHeight="1" x14ac:dyDescent="0.2">
      <c r="A124" s="195"/>
      <c r="B124" s="37" t="s">
        <v>57</v>
      </c>
      <c r="C124" s="60"/>
      <c r="D124" s="60"/>
      <c r="E124" s="60"/>
      <c r="F124" s="61">
        <v>247.4412841796875</v>
      </c>
    </row>
    <row r="125" spans="1:15" ht="18" customHeight="1" x14ac:dyDescent="0.2">
      <c r="A125" s="195"/>
      <c r="B125" s="37" t="s">
        <v>58</v>
      </c>
      <c r="C125" s="33"/>
      <c r="D125" s="33"/>
      <c r="E125" s="33"/>
      <c r="F125" s="62">
        <v>102.28648376464844</v>
      </c>
    </row>
    <row r="126" spans="1:15" ht="18" customHeight="1" x14ac:dyDescent="0.2">
      <c r="A126" s="195"/>
      <c r="B126" s="37" t="s">
        <v>63</v>
      </c>
      <c r="C126" s="33"/>
      <c r="D126" s="33"/>
      <c r="E126" s="33"/>
      <c r="F126" s="62">
        <f ca="1">164.62596875*OFFSET($L$112,MATCH($N$1,$C$112:$C$113,0)-1,0)</f>
        <v>164.62596875</v>
      </c>
    </row>
    <row r="127" spans="1:15" ht="18" customHeight="1" x14ac:dyDescent="0.2">
      <c r="A127" s="195"/>
      <c r="B127" s="37" t="s">
        <v>60</v>
      </c>
      <c r="C127" s="60"/>
      <c r="D127" s="60"/>
      <c r="E127" s="60"/>
      <c r="F127" s="61">
        <v>104.42857360839844</v>
      </c>
    </row>
    <row r="128" spans="1:15" ht="18" customHeight="1" x14ac:dyDescent="0.2">
      <c r="A128" s="195"/>
      <c r="B128" s="37" t="s">
        <v>64</v>
      </c>
      <c r="C128" s="60"/>
      <c r="D128" s="60"/>
      <c r="E128" s="60"/>
      <c r="F128" s="61">
        <v>39.142856597900391</v>
      </c>
    </row>
    <row r="129" spans="1:15" ht="18" customHeight="1" x14ac:dyDescent="0.2">
      <c r="A129" s="195"/>
      <c r="B129" s="37" t="s">
        <v>65</v>
      </c>
      <c r="C129" s="63"/>
      <c r="D129" s="63"/>
      <c r="E129" s="63"/>
      <c r="F129" s="64">
        <v>0.97948753833770752</v>
      </c>
    </row>
    <row r="130" spans="1:15" ht="18" customHeight="1" x14ac:dyDescent="0.2">
      <c r="A130" s="196"/>
      <c r="B130" s="39" t="s">
        <v>28</v>
      </c>
      <c r="C130" s="40"/>
      <c r="D130" s="40"/>
      <c r="E130" s="40"/>
      <c r="F130" s="65">
        <f ca="1">1609*OFFSET($L$112,MATCH($N$1,$C$112:$C$113,0)-1,0)</f>
        <v>1609</v>
      </c>
    </row>
    <row r="131" spans="1:15" ht="18" customHeight="1" x14ac:dyDescent="0.2">
      <c r="A131" s="205" t="s">
        <v>29</v>
      </c>
      <c r="B131" s="35" t="s">
        <v>66</v>
      </c>
      <c r="C131" s="66"/>
      <c r="D131" s="66"/>
      <c r="E131" s="66"/>
      <c r="F131" s="67">
        <v>2.6434324748556652</v>
      </c>
    </row>
    <row r="132" spans="1:15" ht="18" customHeight="1" x14ac:dyDescent="0.2">
      <c r="A132" s="206"/>
      <c r="B132" s="37" t="s">
        <v>67</v>
      </c>
      <c r="C132" s="63"/>
      <c r="D132" s="63"/>
      <c r="E132" s="63"/>
      <c r="F132" s="64">
        <f ca="1">4.25449791586958*OFFSET($L$112,MATCH($N$1,$C$112:$C$113,0)-1,0)</f>
        <v>4.2544979158695799</v>
      </c>
    </row>
    <row r="133" spans="1:15" ht="18" customHeight="1" x14ac:dyDescent="0.2">
      <c r="A133" s="206"/>
      <c r="B133" s="37" t="s">
        <v>11</v>
      </c>
      <c r="C133" s="63"/>
      <c r="D133" s="63"/>
      <c r="E133" s="63"/>
      <c r="F133" s="64">
        <f ca="1">4.09518373560567*OFFSET($L$112,MATCH($N$1,$C$112:$C$113,0)-1,0)</f>
        <v>4.0951837356056702</v>
      </c>
    </row>
    <row r="134" spans="1:15" ht="18" customHeight="1" x14ac:dyDescent="0.2">
      <c r="A134" s="207"/>
      <c r="B134" s="39" t="s">
        <v>12</v>
      </c>
      <c r="C134" s="68"/>
      <c r="D134" s="68"/>
      <c r="E134" s="68"/>
      <c r="F134" s="69">
        <f ca="1">0.159314180263906*OFFSET($L$112,MATCH($N$1,$C$112:$C$113,0)-1,0)</f>
        <v>0.15931418026390601</v>
      </c>
    </row>
    <row r="135" spans="1:15" ht="18" customHeight="1" x14ac:dyDescent="0.2">
      <c r="A135" s="208" t="s">
        <v>49</v>
      </c>
      <c r="B135" s="37" t="s">
        <v>109</v>
      </c>
      <c r="C135" s="70"/>
      <c r="D135" s="70"/>
      <c r="E135" s="70"/>
      <c r="F135" s="71">
        <f ca="1">33.673984375*OFFSET($L$112,MATCH($N$1,$C$112:$C$113,0)-1,0)</f>
        <v>33.673984375000003</v>
      </c>
    </row>
    <row r="136" spans="1:15" ht="18" customHeight="1" x14ac:dyDescent="0.2">
      <c r="A136" s="209"/>
      <c r="B136" s="37" t="s">
        <v>110</v>
      </c>
      <c r="C136" s="31"/>
      <c r="D136" s="31"/>
      <c r="E136" s="31"/>
      <c r="F136" s="72">
        <v>91892.857142857145</v>
      </c>
    </row>
    <row r="137" spans="1:15" ht="18" customHeight="1" x14ac:dyDescent="0.2">
      <c r="A137" s="209"/>
      <c r="B137" s="37" t="s">
        <v>111</v>
      </c>
      <c r="C137" s="31"/>
      <c r="D137" s="31"/>
      <c r="E137" s="31"/>
      <c r="F137" s="72">
        <v>879.958984375</v>
      </c>
    </row>
    <row r="138" spans="1:15" ht="18" customHeight="1" x14ac:dyDescent="0.2">
      <c r="A138" s="209"/>
      <c r="B138" s="37" t="s">
        <v>112</v>
      </c>
      <c r="C138" s="31"/>
      <c r="D138" s="31"/>
      <c r="E138" s="31"/>
      <c r="F138" s="72">
        <f ca="1">322.459487968069*OFFSET($L$112,MATCH($N$1,$C$112:$C$113,0)-1,0)</f>
        <v>322.45948796806903</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c r="D139" s="31"/>
      <c r="E139" s="31"/>
      <c r="F139" s="72">
        <f ca="1">329.212454428296*OFFSET($L$112,MATCH($N$1,$C$112:$C$113,0)-1,0)</f>
        <v>329.21245442829598</v>
      </c>
      <c r="I139" s="48"/>
      <c r="K139" s="73" t="s">
        <v>114</v>
      </c>
      <c r="L139" s="74">
        <f t="shared" ref="L139:M141" si="2">C140</f>
        <v>0</v>
      </c>
      <c r="M139" s="74">
        <f t="shared" si="2"/>
        <v>0</v>
      </c>
      <c r="N139" s="74">
        <f>E140</f>
        <v>0</v>
      </c>
      <c r="O139" s="74"/>
    </row>
    <row r="140" spans="1:15" ht="18" customHeight="1" x14ac:dyDescent="0.2">
      <c r="A140" s="187" t="s">
        <v>50</v>
      </c>
      <c r="B140" s="35" t="s">
        <v>115</v>
      </c>
      <c r="C140" s="75"/>
      <c r="D140" s="75"/>
      <c r="E140" s="75"/>
      <c r="F140" s="76">
        <f ca="1">194.135515625*OFFSET($L$112,MATCH($N$1,$C$112:$C$113,0)-1,0)</f>
        <v>194.13551562500001</v>
      </c>
      <c r="I140" s="48"/>
      <c r="K140" s="73" t="s">
        <v>116</v>
      </c>
      <c r="L140" s="74">
        <f t="shared" si="2"/>
        <v>0</v>
      </c>
      <c r="M140" s="74">
        <f t="shared" si="2"/>
        <v>0</v>
      </c>
      <c r="N140" s="74">
        <f>E141</f>
        <v>0</v>
      </c>
      <c r="O140" s="74"/>
    </row>
    <row r="141" spans="1:15" ht="18" customHeight="1" x14ac:dyDescent="0.2">
      <c r="A141" s="188"/>
      <c r="B141" s="37" t="s">
        <v>117</v>
      </c>
      <c r="C141" s="31"/>
      <c r="D141" s="31"/>
      <c r="E141" s="31"/>
      <c r="F141" s="72">
        <f ca="1">187.970921875*OFFSET($L$112,MATCH($N$1,$C$112:$C$113,0)-1,0)</f>
        <v>187.97092187499999</v>
      </c>
      <c r="I141" s="48"/>
      <c r="K141" s="73" t="s">
        <v>118</v>
      </c>
      <c r="L141" s="74">
        <f t="shared" si="2"/>
        <v>0</v>
      </c>
      <c r="M141" s="74">
        <f t="shared" si="2"/>
        <v>0</v>
      </c>
      <c r="N141" s="74">
        <f>E142</f>
        <v>0</v>
      </c>
      <c r="O141" s="74"/>
    </row>
    <row r="142" spans="1:15" ht="18" customHeight="1" x14ac:dyDescent="0.2">
      <c r="A142" s="189"/>
      <c r="B142" s="39" t="s">
        <v>119</v>
      </c>
      <c r="C142" s="40"/>
      <c r="D142" s="40"/>
      <c r="E142" s="40"/>
      <c r="F142" s="65">
        <f ca="1">6.16459375*OFFSET($L$112,MATCH($N$1,$C$112:$C$113,0)-1,0)</f>
        <v>6.1645937499999999</v>
      </c>
      <c r="I142" s="48"/>
      <c r="K142" s="73" t="s">
        <v>120</v>
      </c>
      <c r="L142" s="77" t="str">
        <f>IFERROR(L140/L$139,"")</f>
        <v/>
      </c>
      <c r="M142" s="77" t="str">
        <f t="shared" ref="M142:N143" si="3">IFERROR(M140/M$139,"")</f>
        <v/>
      </c>
      <c r="N142" s="77" t="str">
        <f t="shared" si="3"/>
        <v/>
      </c>
      <c r="O142" s="77"/>
    </row>
    <row r="143" spans="1:15" ht="18" customHeight="1" x14ac:dyDescent="0.2">
      <c r="I143" s="48"/>
      <c r="K143" s="73" t="s">
        <v>121</v>
      </c>
      <c r="L143" s="77" t="str">
        <f>IFERROR(L141/L$139,"")</f>
        <v/>
      </c>
      <c r="M143" s="77" t="str">
        <f t="shared" si="3"/>
        <v/>
      </c>
      <c r="N143" s="77" t="str">
        <f t="shared" si="3"/>
        <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13</v>
      </c>
      <c r="B161" s="53"/>
      <c r="C161" s="78" t="s">
        <v>45</v>
      </c>
      <c r="D161" s="78" t="s">
        <v>122</v>
      </c>
      <c r="E161" s="78" t="s">
        <v>47</v>
      </c>
      <c r="F161" s="78" t="s">
        <v>123</v>
      </c>
      <c r="G161" s="79">
        <v>12</v>
      </c>
      <c r="H161" s="78"/>
      <c r="I161" s="78" t="s">
        <v>45</v>
      </c>
      <c r="J161" s="78" t="s">
        <v>122</v>
      </c>
      <c r="K161" s="78" t="s">
        <v>47</v>
      </c>
      <c r="L161" s="53" t="s">
        <v>123</v>
      </c>
      <c r="R161" s="21"/>
      <c r="S161" s="21"/>
    </row>
    <row r="162" spans="1:19" s="48" customFormat="1" x14ac:dyDescent="0.2">
      <c r="A162" s="49">
        <v>1</v>
      </c>
      <c r="B162" s="53" t="s">
        <v>20</v>
      </c>
      <c r="C162" s="53">
        <v>0</v>
      </c>
      <c r="D162" s="53">
        <v>0</v>
      </c>
      <c r="E162" s="53">
        <v>0</v>
      </c>
      <c r="F162" s="49">
        <v>12153634</v>
      </c>
      <c r="G162" s="49">
        <v>1</v>
      </c>
      <c r="H162" s="53" t="s">
        <v>20</v>
      </c>
      <c r="I162" s="53">
        <v>0</v>
      </c>
      <c r="J162" s="53">
        <v>0</v>
      </c>
      <c r="K162" s="53">
        <v>0</v>
      </c>
      <c r="L162" s="49">
        <v>12153634</v>
      </c>
      <c r="R162" s="21"/>
      <c r="S162" s="21"/>
    </row>
    <row r="163" spans="1:19" s="48" customFormat="1" x14ac:dyDescent="0.2">
      <c r="A163" s="49">
        <v>2</v>
      </c>
      <c r="B163" s="53" t="s">
        <v>98</v>
      </c>
      <c r="C163" s="53">
        <v>0</v>
      </c>
      <c r="D163" s="53">
        <v>0</v>
      </c>
      <c r="E163" s="53">
        <v>0</v>
      </c>
      <c r="F163" s="49">
        <v>553960</v>
      </c>
      <c r="G163" s="49">
        <v>2</v>
      </c>
      <c r="H163" s="53" t="s">
        <v>98</v>
      </c>
      <c r="I163" s="53">
        <v>0</v>
      </c>
      <c r="J163" s="53">
        <v>0</v>
      </c>
      <c r="K163" s="53">
        <v>0</v>
      </c>
      <c r="L163" s="49">
        <v>553960</v>
      </c>
      <c r="N163" s="48" t="s">
        <v>124</v>
      </c>
      <c r="R163" s="21"/>
      <c r="S163" s="21"/>
    </row>
    <row r="164" spans="1:19" s="48" customFormat="1" x14ac:dyDescent="0.2">
      <c r="A164" s="49">
        <v>3</v>
      </c>
      <c r="B164" s="53" t="s">
        <v>99</v>
      </c>
      <c r="C164" s="53">
        <v>0</v>
      </c>
      <c r="D164" s="53">
        <v>0</v>
      </c>
      <c r="E164" s="53">
        <v>0</v>
      </c>
      <c r="F164" s="49">
        <v>3050596</v>
      </c>
      <c r="G164" s="49">
        <v>3</v>
      </c>
      <c r="H164" s="53" t="s">
        <v>99</v>
      </c>
      <c r="I164" s="53">
        <v>0</v>
      </c>
      <c r="J164" s="53">
        <v>0</v>
      </c>
      <c r="K164" s="53">
        <v>0</v>
      </c>
      <c r="L164" s="49">
        <v>3050596</v>
      </c>
      <c r="N164" s="48" t="s">
        <v>125</v>
      </c>
      <c r="R164" s="21"/>
      <c r="S164" s="21"/>
    </row>
    <row r="165" spans="1:19" s="48" customFormat="1" x14ac:dyDescent="0.2">
      <c r="A165" s="49">
        <v>4</v>
      </c>
      <c r="B165" s="53" t="s">
        <v>101</v>
      </c>
      <c r="C165" s="53">
        <v>0</v>
      </c>
      <c r="D165" s="53">
        <v>0</v>
      </c>
      <c r="E165" s="53">
        <v>0</v>
      </c>
      <c r="F165" s="49">
        <v>3689192</v>
      </c>
      <c r="G165" s="49">
        <v>4</v>
      </c>
      <c r="H165" s="53" t="s">
        <v>101</v>
      </c>
      <c r="I165" s="53">
        <v>0</v>
      </c>
      <c r="J165" s="53">
        <v>0</v>
      </c>
      <c r="K165" s="53">
        <v>0</v>
      </c>
      <c r="L165" s="49">
        <v>3689192</v>
      </c>
      <c r="R165" s="21"/>
      <c r="S165" s="21"/>
    </row>
    <row r="166" spans="1:19" s="48" customFormat="1" x14ac:dyDescent="0.2">
      <c r="A166" s="49">
        <v>5</v>
      </c>
      <c r="B166" s="53" t="s">
        <v>126</v>
      </c>
      <c r="C166" s="53">
        <v>0</v>
      </c>
      <c r="D166" s="53">
        <v>0</v>
      </c>
      <c r="E166" s="53">
        <v>0</v>
      </c>
      <c r="F166" s="49">
        <v>2480382</v>
      </c>
      <c r="G166" s="49">
        <v>5</v>
      </c>
      <c r="H166" s="53" t="s">
        <v>126</v>
      </c>
      <c r="I166" s="53">
        <v>0</v>
      </c>
      <c r="J166" s="53">
        <v>0</v>
      </c>
      <c r="K166" s="53">
        <v>0</v>
      </c>
      <c r="L166" s="49">
        <v>2480382</v>
      </c>
      <c r="R166" s="21"/>
      <c r="S166" s="21"/>
    </row>
    <row r="167" spans="1:19" s="48" customFormat="1" x14ac:dyDescent="0.2">
      <c r="A167" s="49">
        <v>6</v>
      </c>
      <c r="B167" s="53" t="s">
        <v>100</v>
      </c>
      <c r="C167" s="53">
        <v>0</v>
      </c>
      <c r="D167" s="53">
        <v>0</v>
      </c>
      <c r="E167" s="53">
        <v>0</v>
      </c>
      <c r="F167" s="49">
        <v>1692097</v>
      </c>
      <c r="G167" s="49">
        <v>6</v>
      </c>
      <c r="H167" s="53" t="s">
        <v>100</v>
      </c>
      <c r="I167" s="53">
        <v>0</v>
      </c>
      <c r="J167" s="53">
        <v>0</v>
      </c>
      <c r="K167" s="53">
        <v>0</v>
      </c>
      <c r="L167" s="49">
        <v>1692097</v>
      </c>
      <c r="R167" s="21"/>
      <c r="S167" s="21"/>
    </row>
    <row r="168" spans="1:19" s="48" customFormat="1" x14ac:dyDescent="0.2">
      <c r="A168" s="49">
        <v>7</v>
      </c>
      <c r="B168" s="53" t="s">
        <v>105</v>
      </c>
      <c r="C168" s="53">
        <v>0</v>
      </c>
      <c r="D168" s="53">
        <v>0</v>
      </c>
      <c r="E168" s="53">
        <v>0</v>
      </c>
      <c r="F168" s="49">
        <v>11115023</v>
      </c>
      <c r="G168" s="49">
        <v>7</v>
      </c>
      <c r="H168" s="53" t="s">
        <v>102</v>
      </c>
      <c r="I168" s="53">
        <v>0</v>
      </c>
      <c r="J168" s="53">
        <v>0</v>
      </c>
      <c r="K168" s="53">
        <v>0</v>
      </c>
      <c r="L168" s="49">
        <v>7434864</v>
      </c>
      <c r="R168" s="21"/>
      <c r="S168" s="21"/>
    </row>
    <row r="169" spans="1:19" s="48" customFormat="1" x14ac:dyDescent="0.2">
      <c r="A169" s="49">
        <v>8</v>
      </c>
      <c r="B169" s="53" t="s">
        <v>127</v>
      </c>
      <c r="C169" s="53">
        <v>0</v>
      </c>
      <c r="D169" s="53">
        <v>0</v>
      </c>
      <c r="E169" s="53">
        <v>0</v>
      </c>
      <c r="F169" s="49">
        <v>8497745</v>
      </c>
      <c r="G169" s="49">
        <v>8</v>
      </c>
      <c r="H169" s="53" t="s">
        <v>128</v>
      </c>
      <c r="I169" s="53">
        <v>0</v>
      </c>
      <c r="J169" s="53">
        <v>0</v>
      </c>
      <c r="K169" s="53">
        <v>0</v>
      </c>
      <c r="L169" s="49">
        <v>14393110</v>
      </c>
      <c r="R169" s="21"/>
      <c r="S169" s="21"/>
    </row>
    <row r="170" spans="1:19" s="48" customFormat="1" x14ac:dyDescent="0.2">
      <c r="A170" s="49">
        <v>9</v>
      </c>
      <c r="B170" s="53" t="s">
        <v>128</v>
      </c>
      <c r="C170" s="53">
        <v>0</v>
      </c>
      <c r="D170" s="53">
        <v>0</v>
      </c>
      <c r="E170" s="53">
        <v>0</v>
      </c>
      <c r="F170" s="49">
        <v>14393110</v>
      </c>
      <c r="G170" s="49">
        <v>9</v>
      </c>
      <c r="H170" s="53" t="s">
        <v>127</v>
      </c>
      <c r="I170" s="53">
        <v>0</v>
      </c>
      <c r="J170" s="53">
        <v>0</v>
      </c>
      <c r="K170" s="53">
        <v>0</v>
      </c>
      <c r="L170" s="49">
        <v>8497745</v>
      </c>
      <c r="R170" s="21"/>
      <c r="S170" s="21"/>
    </row>
    <row r="171" spans="1:19" s="48" customFormat="1" x14ac:dyDescent="0.2">
      <c r="A171" s="49">
        <v>10</v>
      </c>
      <c r="B171" s="53" t="s">
        <v>106</v>
      </c>
      <c r="C171" s="53">
        <v>0</v>
      </c>
      <c r="D171" s="53">
        <v>0</v>
      </c>
      <c r="E171" s="53">
        <v>0</v>
      </c>
      <c r="F171" s="49">
        <v>2887140</v>
      </c>
      <c r="G171" s="49">
        <v>10</v>
      </c>
      <c r="H171" s="53" t="s">
        <v>106</v>
      </c>
      <c r="I171" s="53">
        <v>0</v>
      </c>
      <c r="J171" s="53">
        <v>0</v>
      </c>
      <c r="K171" s="53">
        <v>0</v>
      </c>
      <c r="L171" s="49">
        <v>2887140</v>
      </c>
      <c r="R171" s="21"/>
      <c r="S171" s="21"/>
    </row>
    <row r="172" spans="1:19" s="48" customFormat="1" x14ac:dyDescent="0.2">
      <c r="A172" s="49">
        <v>11</v>
      </c>
      <c r="B172" s="53" t="s">
        <v>102</v>
      </c>
      <c r="C172" s="53">
        <v>0</v>
      </c>
      <c r="D172" s="53">
        <v>0</v>
      </c>
      <c r="E172" s="53">
        <v>0</v>
      </c>
      <c r="F172" s="49">
        <v>7434864</v>
      </c>
      <c r="G172" s="49">
        <v>11</v>
      </c>
      <c r="H172" s="53" t="s">
        <v>107</v>
      </c>
      <c r="I172" s="53">
        <v>0</v>
      </c>
      <c r="J172" s="53">
        <v>0</v>
      </c>
      <c r="K172" s="53">
        <v>0</v>
      </c>
      <c r="L172" s="49">
        <v>5920853</v>
      </c>
      <c r="R172" s="21"/>
      <c r="S172" s="21"/>
    </row>
    <row r="173" spans="1:19" s="48" customFormat="1" x14ac:dyDescent="0.2">
      <c r="A173" s="49">
        <v>12</v>
      </c>
      <c r="B173" s="53" t="s">
        <v>107</v>
      </c>
      <c r="C173" s="53">
        <v>0</v>
      </c>
      <c r="D173" s="53">
        <v>0</v>
      </c>
      <c r="E173" s="53">
        <v>0</v>
      </c>
      <c r="F173" s="49">
        <v>5920853</v>
      </c>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392C6067-825D-4D6E-BDB8-92AC23B9D88F}">
      <formula1>$C$112:$C$113</formula1>
    </dataValidation>
  </dataValidations>
  <hyperlinks>
    <hyperlink ref="O1:P1" location="Home_page" display="Back to home page" xr:uid="{B3DBA9B1-166C-489D-91D1-A489B4737F03}"/>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5B50543D-BDFF-47D0-A8F5-A114C6690748}">
          <x14:colorSeries rgb="FF323232"/>
          <x14:colorNegative rgb="FFD00000"/>
          <x14:colorAxis rgb="FF000000"/>
          <x14:colorMarkers rgb="FFD00000"/>
          <x14:colorFirst rgb="FFD00000"/>
          <x14:colorLast rgb="FFD00000"/>
          <x14:colorHigh rgb="FFD00000"/>
          <x14:colorLow rgb="FFD00000"/>
          <x14:sparklines>
            <x14:sparkline>
              <xm:f>'Area VIIa demersal trawl'!D3:N3</xm:f>
              <xm:sqref>C3</xm:sqref>
            </x14:sparkline>
            <x14:sparkline>
              <xm:f>'Area VIIa demersal trawl'!D4:N4</xm:f>
              <xm:sqref>C4</xm:sqref>
            </x14:sparkline>
            <x14:sparkline>
              <xm:f>'Area VIIa demersal trawl'!D5:N5</xm:f>
              <xm:sqref>C5</xm:sqref>
            </x14:sparkline>
            <x14:sparkline>
              <xm:f>'Area VIIa demersal trawl'!D6:N6</xm:f>
              <xm:sqref>C6</xm:sqref>
            </x14:sparkline>
            <x14:sparkline>
              <xm:f>'Area VIIa demersal trawl'!D7:N7</xm:f>
              <xm:sqref>C7</xm:sqref>
            </x14:sparkline>
            <x14:sparkline>
              <xm:f>'Area VIIa demersal trawl'!D8:N8</xm:f>
              <xm:sqref>C8</xm:sqref>
            </x14:sparkline>
            <x14:sparkline>
              <xm:f>'Area VIIa demersal trawl'!D9:N9</xm:f>
              <xm:sqref>C9</xm:sqref>
            </x14:sparkline>
            <x14:sparkline>
              <xm:f>'Area VIIa demersal trawl'!D10:N10</xm:f>
              <xm:sqref>C10</xm:sqref>
            </x14:sparkline>
            <x14:sparkline>
              <xm:f>'Area VIIa demersal trawl'!D11:N11</xm:f>
              <xm:sqref>C11</xm:sqref>
            </x14:sparkline>
            <x14:sparkline>
              <xm:f>'Area VIIa demersal trawl'!D12:N12</xm:f>
              <xm:sqref>C12</xm:sqref>
            </x14:sparkline>
            <x14:sparkline>
              <xm:f>'Area VIIa demersal trawl'!D13:N13</xm:f>
              <xm:sqref>C13</xm:sqref>
            </x14:sparkline>
            <x14:sparkline>
              <xm:f>'Area VIIa demersal trawl'!D14:N14</xm:f>
              <xm:sqref>C14</xm:sqref>
            </x14:sparkline>
            <x14:sparkline>
              <xm:f>'Area VIIa demersal trawl'!D15:N15</xm:f>
              <xm:sqref>C15</xm:sqref>
            </x14:sparkline>
            <x14:sparkline>
              <xm:f>'Area VIIa demersal trawl'!D16:N16</xm:f>
              <xm:sqref>C16</xm:sqref>
            </x14:sparkline>
            <x14:sparkline>
              <xm:f>'Area VIIa demersal trawl'!D17:N17</xm:f>
              <xm:sqref>C17</xm:sqref>
            </x14:sparkline>
            <x14:sparkline>
              <xm:f>'Area VIIa demersal trawl'!D18:N18</xm:f>
              <xm:sqref>C18</xm:sqref>
            </x14:sparkline>
            <x14:sparkline>
              <xm:f>'Area VIIa demersal trawl'!D19:N19</xm:f>
              <xm:sqref>C19</xm:sqref>
            </x14:sparkline>
            <x14:sparkline>
              <xm:f>'Area VIIa demersal trawl'!D20:N20</xm:f>
              <xm:sqref>C20</xm:sqref>
            </x14:sparkline>
            <x14:sparkline>
              <xm:f>'Area VIIa demersal trawl'!D21:N21</xm:f>
              <xm:sqref>C21</xm:sqref>
            </x14:sparkline>
            <x14:sparkline>
              <xm:f>'Area VIIa demersal trawl'!D22:N22</xm:f>
              <xm:sqref>C22</xm:sqref>
            </x14:sparkline>
            <x14:sparkline>
              <xm:f>'Area VIIa demersal trawl'!D23:N23</xm:f>
              <xm:sqref>C23</xm:sqref>
            </x14:sparkline>
            <x14:sparkline>
              <xm:f>'Area VIIa demersal trawl'!D24:N24</xm:f>
              <xm:sqref>C24</xm:sqref>
            </x14:sparkline>
            <x14:sparkline>
              <xm:f>'Area VIIa demersal trawl'!D25:N25</xm:f>
              <xm:sqref>C25</xm:sqref>
            </x14:sparkline>
            <x14:sparkline>
              <xm:f>'Area VIIa demersal trawl'!D26:N26</xm:f>
              <xm:sqref>C26</xm:sqref>
            </x14:sparkline>
            <x14:sparkline>
              <xm:f>'Area VIIa demersal trawl'!D27:N27</xm:f>
              <xm:sqref>C27</xm:sqref>
            </x14:sparkline>
            <x14:sparkline>
              <xm:f>'Area VIIa demersal trawl'!D28:N28</xm:f>
              <xm:sqref>C28</xm:sqref>
            </x14:sparkline>
            <x14:sparkline>
              <xm:f>'Area VIIa demersal trawl'!D29:N29</xm:f>
              <xm:sqref>C29</xm:sqref>
            </x14:sparkline>
            <x14:sparkline>
              <xm:f>'Area VIIa demersal trawl'!D30:N30</xm:f>
              <xm:sqref>C30</xm:sqref>
            </x14:sparkline>
            <x14:sparkline>
              <xm:f>'Area VIIa demersal trawl'!D31:N31</xm:f>
              <xm:sqref>C31</xm:sqref>
            </x14:sparkline>
            <x14:sparkline>
              <xm:f>'Area VIIa demersal trawl'!D32:N32</xm:f>
              <xm:sqref>C32</xm:sqref>
            </x14:sparkline>
            <x14:sparkline>
              <xm:f>'Area VIIa demersal trawl'!D33:N33</xm:f>
              <xm:sqref>C33</xm:sqref>
            </x14:sparkline>
            <x14:sparkline>
              <xm:f>'Area VIIa demersal trawl'!D34:N34</xm:f>
              <xm:sqref>C34</xm:sqref>
            </x14:sparkline>
            <x14:sparkline>
              <xm:f>'Area VIIa demersal trawl'!D35:N35</xm:f>
              <xm:sqref>C35</xm:sqref>
            </x14:sparkline>
            <x14:sparkline>
              <xm:f>'Area VIIa demersal trawl'!D36:N36</xm:f>
              <xm:sqref>C36</xm:sqref>
            </x14:sparkline>
            <x14:sparkline>
              <xm:f>'Area VIIa demersal trawl'!D37:N37</xm:f>
              <xm:sqref>C37</xm:sqref>
            </x14:sparkline>
            <x14:sparkline>
              <xm:f>'Area VIIa demersal trawl'!D38:N38</xm:f>
              <xm:sqref>C38</xm:sqref>
            </x14:sparkline>
            <x14:sparkline>
              <xm:f>'Area VIIa demersal trawl'!D39:N39</xm:f>
              <xm:sqref>C39</xm:sqref>
            </x14:sparkline>
            <x14:sparkline>
              <xm:f>'Area VIIa demersal trawl'!D40:N40</xm:f>
              <xm:sqref>C40</xm:sqref>
            </x14:sparkline>
            <x14:sparkline>
              <xm:f>'Area VIIa demersal trawl'!D41:N41</xm:f>
              <xm:sqref>C41</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9D567-E80D-4EA7-8BAD-BFED78F5C6B8}">
  <sheetPr codeName="Feuil7">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129</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31</v>
      </c>
      <c r="E3" s="28">
        <v>34</v>
      </c>
      <c r="F3" s="28">
        <v>41</v>
      </c>
      <c r="G3" s="28">
        <v>37</v>
      </c>
      <c r="H3" s="28">
        <v>36</v>
      </c>
      <c r="I3" s="28">
        <v>32</v>
      </c>
      <c r="J3" s="28">
        <v>30</v>
      </c>
      <c r="K3" s="28">
        <v>31</v>
      </c>
      <c r="L3" s="28">
        <v>29</v>
      </c>
      <c r="M3" s="28">
        <v>25</v>
      </c>
      <c r="N3" s="28">
        <v>29</v>
      </c>
      <c r="O3" s="29">
        <f t="shared" ref="O3:O41" si="0">IF(N3=0,"",IFERROR(IF(AND(N3&gt;0,D3&lt;0),"na",IF(AND(N3&lt;0,D3&lt;0),-1,1)*(N3-D3)/D3),""))</f>
        <v>-6.4516129032258063E-2</v>
      </c>
      <c r="P3" s="29">
        <f t="shared" ref="P3:P41" si="1">IF(N3=0,"",IFERROR(IF(AND(N3&gt;0,J3&lt;0),"na",IF(AND(N3&lt;0,J3&lt;0),-1,1)*(N3-J3)/J3),""))</f>
        <v>-3.3333333333333333E-2</v>
      </c>
    </row>
    <row r="4" spans="1:17" ht="18" customHeight="1" x14ac:dyDescent="0.2">
      <c r="A4" s="193"/>
      <c r="B4" s="30" t="s">
        <v>55</v>
      </c>
      <c r="C4" s="31"/>
      <c r="D4" s="31">
        <v>11384</v>
      </c>
      <c r="E4" s="31">
        <v>12088</v>
      </c>
      <c r="F4" s="31">
        <v>15151</v>
      </c>
      <c r="G4" s="31">
        <v>13788</v>
      </c>
      <c r="H4" s="31">
        <v>13805</v>
      </c>
      <c r="I4" s="31">
        <v>12408</v>
      </c>
      <c r="J4" s="31">
        <v>11437</v>
      </c>
      <c r="K4" s="31">
        <v>11767</v>
      </c>
      <c r="L4" s="31">
        <v>11085</v>
      </c>
      <c r="M4" s="31">
        <v>9785</v>
      </c>
      <c r="N4" s="31">
        <v>11346</v>
      </c>
      <c r="O4" s="29">
        <f t="shared" si="0"/>
        <v>-3.3380182712579058E-3</v>
      </c>
      <c r="P4" s="29">
        <f t="shared" si="1"/>
        <v>-7.9566319839118656E-3</v>
      </c>
    </row>
    <row r="5" spans="1:17" ht="18" customHeight="1" x14ac:dyDescent="0.2">
      <c r="A5" s="193"/>
      <c r="B5" s="30" t="s">
        <v>56</v>
      </c>
      <c r="C5" s="31"/>
      <c r="D5" s="31">
        <v>3364</v>
      </c>
      <c r="E5" s="31">
        <v>3542</v>
      </c>
      <c r="F5" s="31">
        <v>4495</v>
      </c>
      <c r="G5" s="31">
        <v>4210</v>
      </c>
      <c r="H5" s="31">
        <v>4206</v>
      </c>
      <c r="I5" s="31">
        <v>3822</v>
      </c>
      <c r="J5" s="31">
        <v>3563</v>
      </c>
      <c r="K5" s="31">
        <v>3518</v>
      </c>
      <c r="L5" s="31">
        <v>3348</v>
      </c>
      <c r="M5" s="31">
        <v>3073</v>
      </c>
      <c r="N5" s="31">
        <v>3487.35009765625</v>
      </c>
      <c r="O5" s="29">
        <f t="shared" si="0"/>
        <v>3.6667686580335909E-2</v>
      </c>
      <c r="P5" s="29">
        <f t="shared" si="1"/>
        <v>-2.1232080365913557E-2</v>
      </c>
      <c r="Q5" s="32"/>
    </row>
    <row r="6" spans="1:17" ht="18" customHeight="1" x14ac:dyDescent="0.2">
      <c r="A6" s="193"/>
      <c r="B6" s="30" t="s">
        <v>57</v>
      </c>
      <c r="C6" s="31"/>
      <c r="D6" s="31">
        <v>9156.4072265625</v>
      </c>
      <c r="E6" s="31">
        <v>9709.240234375</v>
      </c>
      <c r="F6" s="31">
        <v>12125.767578125</v>
      </c>
      <c r="G6" s="31">
        <v>11063.01171875</v>
      </c>
      <c r="H6" s="31">
        <v>10948.119140625</v>
      </c>
      <c r="I6" s="31">
        <v>9807.9365234375</v>
      </c>
      <c r="J6" s="31">
        <v>9118.6435546875</v>
      </c>
      <c r="K6" s="31">
        <v>9277.9404296875</v>
      </c>
      <c r="L6" s="31">
        <v>8646.8173828125</v>
      </c>
      <c r="M6" s="31">
        <v>7695.529296875</v>
      </c>
      <c r="N6" s="31">
        <v>8874.0078125</v>
      </c>
      <c r="O6" s="29">
        <f t="shared" si="0"/>
        <v>-3.0841727227166854E-2</v>
      </c>
      <c r="P6" s="29">
        <f t="shared" si="1"/>
        <v>-2.6828084760670719E-2</v>
      </c>
    </row>
    <row r="7" spans="1:17" ht="18" customHeight="1" x14ac:dyDescent="0.2">
      <c r="A7" s="193"/>
      <c r="B7" s="30" t="s">
        <v>58</v>
      </c>
      <c r="C7" s="31"/>
      <c r="D7" s="31">
        <v>4361.9814453125</v>
      </c>
      <c r="E7" s="31">
        <v>4161.80517578125</v>
      </c>
      <c r="F7" s="31">
        <v>4986.69775390625</v>
      </c>
      <c r="G7" s="31">
        <v>4535.9873046875</v>
      </c>
      <c r="H7" s="31">
        <v>5283.72412109375</v>
      </c>
      <c r="I7" s="31">
        <v>4146.56201171875</v>
      </c>
      <c r="J7" s="31">
        <v>3965.29541015625</v>
      </c>
      <c r="K7" s="31">
        <v>3983.49560546875</v>
      </c>
      <c r="L7" s="31">
        <v>4553.91357421875</v>
      </c>
      <c r="M7" s="31">
        <v>3628.15283203125</v>
      </c>
      <c r="N7" s="31">
        <v>5090.982421875</v>
      </c>
      <c r="O7" s="29">
        <f t="shared" si="0"/>
        <v>0.16712610672516812</v>
      </c>
      <c r="P7" s="29">
        <f t="shared" si="1"/>
        <v>0.28388477913538174</v>
      </c>
    </row>
    <row r="8" spans="1:17" ht="18" customHeight="1" x14ac:dyDescent="0.2">
      <c r="A8" s="193"/>
      <c r="B8" s="30" t="s">
        <v>59</v>
      </c>
      <c r="C8" s="33"/>
      <c r="D8" s="33">
        <f ca="1">10.227502*OFFSET(D$112,MATCH($N$1,$C$112:$C$113,0)-1,0)</f>
        <v>10.227501999999999</v>
      </c>
      <c r="E8" s="33">
        <f ca="1">10.717314*OFFSET(E$112,MATCH($N$1,$C$112:$C$113,0)-1,0)</f>
        <v>10.717314</v>
      </c>
      <c r="F8" s="33">
        <f ca="1">10.802605*OFFSET(F$112,MATCH($N$1,$C$112:$C$113,0)-1,0)</f>
        <v>10.802605</v>
      </c>
      <c r="G8" s="33">
        <f ca="1">10.887417*OFFSET(G$112,MATCH($N$1,$C$112:$C$113,0)-1,0)</f>
        <v>10.887416999999999</v>
      </c>
      <c r="H8" s="33">
        <f ca="1">11.485258*OFFSET(H$112,MATCH($N$1,$C$112:$C$113,0)-1,0)</f>
        <v>11.485258</v>
      </c>
      <c r="I8" s="33">
        <f ca="1">9.854542*OFFSET(I$112,MATCH($N$1,$C$112:$C$113,0)-1,0)</f>
        <v>9.8545420000000004</v>
      </c>
      <c r="J8" s="33">
        <f ca="1">9.676625*OFFSET(J$112,MATCH($N$1,$C$112:$C$113,0)-1,0)</f>
        <v>9.6766249999999996</v>
      </c>
      <c r="K8" s="33">
        <f ca="1">9.072371*OFFSET(K$112,MATCH($N$1,$C$112:$C$113,0)-1,0)</f>
        <v>9.0723710000000004</v>
      </c>
      <c r="L8" s="33">
        <f ca="1">11.202995*OFFSET(L$112,MATCH($N$1,$C$112:$C$113,0)-1,0)</f>
        <v>11.202995</v>
      </c>
      <c r="M8" s="33">
        <f ca="1">6.316564*OFFSET(M$112,MATCH($N$1,$C$112:$C$113,0)-1,0)</f>
        <v>6.3165639999999996</v>
      </c>
      <c r="N8" s="33">
        <v>9.2842859999999998</v>
      </c>
      <c r="O8" s="29">
        <f t="shared" ca="1" si="0"/>
        <v>-9.2223496998582802E-2</v>
      </c>
      <c r="P8" s="29">
        <f t="shared" ca="1" si="1"/>
        <v>-4.0545024737447179E-2</v>
      </c>
    </row>
    <row r="9" spans="1:17" ht="18" customHeight="1" x14ac:dyDescent="0.2">
      <c r="A9" s="193"/>
      <c r="B9" s="30" t="s">
        <v>60</v>
      </c>
      <c r="C9" s="31"/>
      <c r="D9" s="31">
        <v>4545</v>
      </c>
      <c r="E9" s="31">
        <v>4757</v>
      </c>
      <c r="F9" s="31">
        <v>5846</v>
      </c>
      <c r="G9" s="31">
        <v>5564</v>
      </c>
      <c r="H9" s="31">
        <v>5688</v>
      </c>
      <c r="I9" s="31">
        <v>4479</v>
      </c>
      <c r="J9" s="31">
        <v>4101</v>
      </c>
      <c r="K9" s="31">
        <v>4492</v>
      </c>
      <c r="L9" s="31">
        <v>4485</v>
      </c>
      <c r="M9" s="31">
        <v>3134</v>
      </c>
      <c r="N9" s="31">
        <v>4505</v>
      </c>
      <c r="O9" s="29">
        <f t="shared" si="0"/>
        <v>-8.8008800880088004E-3</v>
      </c>
      <c r="P9" s="29">
        <f t="shared" si="1"/>
        <v>9.8512557912704218E-2</v>
      </c>
    </row>
    <row r="10" spans="1:17" ht="18" customHeight="1" x14ac:dyDescent="0.2">
      <c r="A10" s="193"/>
      <c r="B10" s="30" t="s">
        <v>61</v>
      </c>
      <c r="C10" s="31"/>
      <c r="D10" s="31">
        <v>153.8526611328125</v>
      </c>
      <c r="E10" s="31">
        <v>167.17524719238281</v>
      </c>
      <c r="F10" s="31">
        <v>171.12681579589844</v>
      </c>
      <c r="G10" s="31">
        <v>182.49830627441406</v>
      </c>
      <c r="H10" s="31">
        <v>254.87004089355469</v>
      </c>
      <c r="I10" s="31">
        <v>194.54751586914063</v>
      </c>
      <c r="J10" s="31">
        <v>197.45974731445313</v>
      </c>
      <c r="K10" s="31">
        <v>224.29780578613281</v>
      </c>
      <c r="L10" s="31">
        <v>163.81381225585938</v>
      </c>
      <c r="M10" s="31">
        <v>141.87409973144531</v>
      </c>
      <c r="N10" s="31">
        <v>204.32048034667969</v>
      </c>
      <c r="O10" s="34">
        <f t="shared" si="0"/>
        <v>0.32802695021505746</v>
      </c>
      <c r="P10" s="34">
        <f t="shared" si="1"/>
        <v>3.4744970180180051E-2</v>
      </c>
    </row>
    <row r="11" spans="1:17" ht="18" customHeight="1" x14ac:dyDescent="0.2">
      <c r="A11" s="194" t="s">
        <v>27</v>
      </c>
      <c r="B11" s="35" t="s">
        <v>62</v>
      </c>
      <c r="C11" s="36"/>
      <c r="D11" s="36">
        <v>20.641290664672852</v>
      </c>
      <c r="E11" s="36">
        <v>20.029411315917969</v>
      </c>
      <c r="F11" s="36">
        <v>20.508293151855469</v>
      </c>
      <c r="G11" s="36">
        <v>20.694595336914063</v>
      </c>
      <c r="H11" s="36">
        <v>20.426944732666016</v>
      </c>
      <c r="I11" s="36">
        <v>20.484375</v>
      </c>
      <c r="J11" s="36">
        <v>20.444334030151367</v>
      </c>
      <c r="K11" s="36">
        <v>20.112258911132813</v>
      </c>
      <c r="L11" s="36">
        <v>19.885171890258789</v>
      </c>
      <c r="M11" s="36">
        <v>20.193199157714844</v>
      </c>
      <c r="N11" s="36">
        <v>20.152414321899414</v>
      </c>
      <c r="O11" s="29">
        <f t="shared" si="0"/>
        <v>-2.3684388283439047E-2</v>
      </c>
      <c r="P11" s="29">
        <f t="shared" si="1"/>
        <v>-1.4278758497167431E-2</v>
      </c>
    </row>
    <row r="12" spans="1:17" ht="18" customHeight="1" x14ac:dyDescent="0.2">
      <c r="A12" s="195"/>
      <c r="B12" s="37" t="s">
        <v>55</v>
      </c>
      <c r="C12" s="31"/>
      <c r="D12" s="31">
        <v>367.22579956054688</v>
      </c>
      <c r="E12" s="31">
        <v>355.5294189453125</v>
      </c>
      <c r="F12" s="31">
        <v>369.53659057617188</v>
      </c>
      <c r="G12" s="31">
        <v>372.64865112304688</v>
      </c>
      <c r="H12" s="31">
        <v>383.47222900390625</v>
      </c>
      <c r="I12" s="31">
        <v>387.75</v>
      </c>
      <c r="J12" s="31">
        <v>381.23333740234375</v>
      </c>
      <c r="K12" s="31">
        <v>379.58065795898438</v>
      </c>
      <c r="L12" s="31">
        <v>382.24139404296875</v>
      </c>
      <c r="M12" s="31">
        <v>391.39999389648438</v>
      </c>
      <c r="N12" s="31">
        <v>391.24139404296875</v>
      </c>
      <c r="O12" s="29">
        <f t="shared" si="0"/>
        <v>6.5397350924583583E-2</v>
      </c>
      <c r="P12" s="29">
        <f t="shared" si="1"/>
        <v>2.6251787707806774E-2</v>
      </c>
    </row>
    <row r="13" spans="1:17" ht="18" customHeight="1" x14ac:dyDescent="0.2">
      <c r="A13" s="195"/>
      <c r="B13" s="37" t="s">
        <v>56</v>
      </c>
      <c r="C13" s="31"/>
      <c r="D13" s="31">
        <v>108.51612854003906</v>
      </c>
      <c r="E13" s="31">
        <v>104.17646789550781</v>
      </c>
      <c r="F13" s="31">
        <v>109.63414764404297</v>
      </c>
      <c r="G13" s="31">
        <v>113.78378295898438</v>
      </c>
      <c r="H13" s="31">
        <v>116.83333587646484</v>
      </c>
      <c r="I13" s="31">
        <v>119.4375</v>
      </c>
      <c r="J13" s="31">
        <v>118.76667022705078</v>
      </c>
      <c r="K13" s="31">
        <v>113.48387145996094</v>
      </c>
      <c r="L13" s="31">
        <v>115.44827270507813</v>
      </c>
      <c r="M13" s="31">
        <v>122.91999816894531</v>
      </c>
      <c r="N13" s="31">
        <v>120.25344848632813</v>
      </c>
      <c r="O13" s="29">
        <f t="shared" si="0"/>
        <v>0.10816198572692683</v>
      </c>
      <c r="P13" s="29">
        <f t="shared" si="1"/>
        <v>1.2518480617794647E-2</v>
      </c>
    </row>
    <row r="14" spans="1:17" ht="18" customHeight="1" x14ac:dyDescent="0.2">
      <c r="A14" s="195"/>
      <c r="B14" s="37" t="s">
        <v>57</v>
      </c>
      <c r="C14" s="31"/>
      <c r="D14" s="31">
        <v>295.36798095703125</v>
      </c>
      <c r="E14" s="31">
        <v>285.56588745117188</v>
      </c>
      <c r="F14" s="31">
        <v>295.75042724609375</v>
      </c>
      <c r="G14" s="31">
        <v>299.00033569335938</v>
      </c>
      <c r="H14" s="31">
        <v>304.11444091796875</v>
      </c>
      <c r="I14" s="31">
        <v>306.49801635742188</v>
      </c>
      <c r="J14" s="31">
        <v>303.95480346679688</v>
      </c>
      <c r="K14" s="31">
        <v>299.28839111328125</v>
      </c>
      <c r="L14" s="31">
        <v>298.16610717773438</v>
      </c>
      <c r="M14" s="31">
        <v>307.8211669921875</v>
      </c>
      <c r="N14" s="31">
        <v>306.000244140625</v>
      </c>
      <c r="O14" s="29">
        <f t="shared" si="0"/>
        <v>3.5996668119353405E-2</v>
      </c>
      <c r="P14" s="29">
        <f t="shared" si="1"/>
        <v>6.7294237514873255E-3</v>
      </c>
    </row>
    <row r="15" spans="1:17" ht="18" customHeight="1" x14ac:dyDescent="0.2">
      <c r="A15" s="195"/>
      <c r="B15" s="37" t="s">
        <v>58</v>
      </c>
      <c r="C15" s="33"/>
      <c r="D15" s="33">
        <v>140.70907592773438</v>
      </c>
      <c r="E15" s="33">
        <v>122.40602874755859</v>
      </c>
      <c r="F15" s="33">
        <v>121.62677001953125</v>
      </c>
      <c r="G15" s="33">
        <v>122.59424591064453</v>
      </c>
      <c r="H15" s="33">
        <v>146.77011108398438</v>
      </c>
      <c r="I15" s="33">
        <v>129.58006286621094</v>
      </c>
      <c r="J15" s="33">
        <v>132.176513671875</v>
      </c>
      <c r="K15" s="33">
        <v>128.49986267089844</v>
      </c>
      <c r="L15" s="33">
        <v>157.03150939941406</v>
      </c>
      <c r="M15" s="33">
        <v>145.12611389160156</v>
      </c>
      <c r="N15" s="33">
        <v>175.55111694335938</v>
      </c>
      <c r="O15" s="29">
        <f t="shared" si="0"/>
        <v>0.24761758106861023</v>
      </c>
      <c r="P15" s="29">
        <f t="shared" si="1"/>
        <v>0.32815666010953187</v>
      </c>
    </row>
    <row r="16" spans="1:17" ht="18" customHeight="1" x14ac:dyDescent="0.2">
      <c r="A16" s="195"/>
      <c r="B16" s="37" t="s">
        <v>63</v>
      </c>
      <c r="C16" s="33"/>
      <c r="D16" s="33">
        <f ca="1">329.91940625*OFFSET(D$112,MATCH($N$1,$C$112:$C$113,0)-1,0)</f>
        <v>329.91940625000001</v>
      </c>
      <c r="E16" s="33">
        <f ca="1">315.215125*OFFSET(E$112,MATCH($N$1,$C$112:$C$113,0)-1,0)</f>
        <v>315.215125</v>
      </c>
      <c r="F16" s="33">
        <f ca="1">263.47815625*OFFSET(F$112,MATCH($N$1,$C$112:$C$113,0)-1,0)</f>
        <v>263.47815624999998</v>
      </c>
      <c r="G16" s="33">
        <f ca="1">294.2545*OFFSET(G$112,MATCH($N$1,$C$112:$C$113,0)-1,0)</f>
        <v>294.25450000000001</v>
      </c>
      <c r="H16" s="33">
        <f ca="1">319.0349375*OFFSET(H$112,MATCH($N$1,$C$112:$C$113,0)-1,0)</f>
        <v>319.03493750000001</v>
      </c>
      <c r="I16" s="33">
        <f ca="1">307.9544375*OFFSET(I$112,MATCH($N$1,$C$112:$C$113,0)-1,0)</f>
        <v>307.95443749999998</v>
      </c>
      <c r="J16" s="33">
        <f ca="1">322.5541875*OFFSET(J$112,MATCH($N$1,$C$112:$C$113,0)-1,0)</f>
        <v>322.55418750000001</v>
      </c>
      <c r="K16" s="33">
        <f ca="1">292.657125*OFFSET(K$112,MATCH($N$1,$C$112:$C$113,0)-1,0)</f>
        <v>292.65712500000001</v>
      </c>
      <c r="L16" s="33">
        <f ca="1">386.3101875*OFFSET(L$112,MATCH($N$1,$C$112:$C$113,0)-1,0)</f>
        <v>386.31018749999998</v>
      </c>
      <c r="M16" s="33">
        <f ca="1">252.6625625*OFFSET(M$112,MATCH($N$1,$C$112:$C$113,0)-1,0)</f>
        <v>252.66256250000001</v>
      </c>
      <c r="N16" s="33">
        <v>320.14778124999998</v>
      </c>
      <c r="O16" s="29">
        <f t="shared" ca="1" si="0"/>
        <v>-2.9618218312976334E-2</v>
      </c>
      <c r="P16" s="29">
        <f t="shared" ca="1" si="1"/>
        <v>-7.4604712735283638E-3</v>
      </c>
    </row>
    <row r="17" spans="1:16" ht="18" customHeight="1" x14ac:dyDescent="0.2">
      <c r="A17" s="195"/>
      <c r="B17" s="37" t="s">
        <v>60</v>
      </c>
      <c r="C17" s="31"/>
      <c r="D17" s="31">
        <v>146.61289978027344</v>
      </c>
      <c r="E17" s="31">
        <v>139.91175842285156</v>
      </c>
      <c r="F17" s="31">
        <v>142.58537292480469</v>
      </c>
      <c r="G17" s="31">
        <v>150.37837219238281</v>
      </c>
      <c r="H17" s="31">
        <v>158</v>
      </c>
      <c r="I17" s="31">
        <v>139.96875</v>
      </c>
      <c r="J17" s="31">
        <v>136.69999694824219</v>
      </c>
      <c r="K17" s="31">
        <v>144.90322875976563</v>
      </c>
      <c r="L17" s="31">
        <v>154.65516662597656</v>
      </c>
      <c r="M17" s="31">
        <v>125.36000061035156</v>
      </c>
      <c r="N17" s="31">
        <v>155.34483337402344</v>
      </c>
      <c r="O17" s="29">
        <f t="shared" si="0"/>
        <v>5.9557744283323083E-2</v>
      </c>
      <c r="P17" s="29">
        <f t="shared" si="1"/>
        <v>0.13639236899793511</v>
      </c>
    </row>
    <row r="18" spans="1:16" ht="18" customHeight="1" x14ac:dyDescent="0.2">
      <c r="A18" s="195"/>
      <c r="B18" s="37" t="s">
        <v>64</v>
      </c>
      <c r="C18" s="31"/>
      <c r="D18" s="31">
        <v>35</v>
      </c>
      <c r="E18" s="31">
        <v>35.235294342041016</v>
      </c>
      <c r="F18" s="31">
        <v>35.804878234863281</v>
      </c>
      <c r="G18" s="31">
        <v>37.43243408203125</v>
      </c>
      <c r="H18" s="31">
        <v>36.166667938232422</v>
      </c>
      <c r="I18" s="31">
        <v>36.34375</v>
      </c>
      <c r="J18" s="31">
        <v>37.700000762939453</v>
      </c>
      <c r="K18" s="31">
        <v>37.967742919921875</v>
      </c>
      <c r="L18" s="31">
        <v>38.241378784179688</v>
      </c>
      <c r="M18" s="31">
        <v>37.479999542236328</v>
      </c>
      <c r="N18" s="31">
        <v>37.931034088134766</v>
      </c>
      <c r="O18" s="29">
        <f t="shared" si="0"/>
        <v>8.3743831089564735E-2</v>
      </c>
      <c r="P18" s="29">
        <f t="shared" si="1"/>
        <v>6.1282047883252861E-3</v>
      </c>
    </row>
    <row r="19" spans="1:16" ht="18" customHeight="1" x14ac:dyDescent="0.2">
      <c r="A19" s="195"/>
      <c r="B19" s="37" t="s">
        <v>65</v>
      </c>
      <c r="C19" s="38"/>
      <c r="D19" s="38">
        <v>0.95973187685012817</v>
      </c>
      <c r="E19" s="38">
        <v>0.87488019466400146</v>
      </c>
      <c r="F19" s="38">
        <v>0.85301011800765991</v>
      </c>
      <c r="G19" s="38">
        <v>0.81523853540420532</v>
      </c>
      <c r="H19" s="38">
        <v>0.92892473936080933</v>
      </c>
      <c r="I19" s="38">
        <v>0.92577850818634033</v>
      </c>
      <c r="J19" s="38">
        <v>0.96690940856933594</v>
      </c>
      <c r="K19" s="38">
        <v>0.88679778575897217</v>
      </c>
      <c r="L19" s="38">
        <v>1.0153654813766479</v>
      </c>
      <c r="M19" s="38">
        <v>1.1576747894287109</v>
      </c>
      <c r="N19" s="38">
        <v>1.1300737857818604</v>
      </c>
      <c r="O19" s="29">
        <f t="shared" si="0"/>
        <v>0.17748906026837408</v>
      </c>
      <c r="P19" s="29">
        <f t="shared" si="1"/>
        <v>0.1687483602563622</v>
      </c>
    </row>
    <row r="20" spans="1:16" ht="18" customHeight="1" x14ac:dyDescent="0.2">
      <c r="A20" s="196"/>
      <c r="B20" s="39" t="s">
        <v>28</v>
      </c>
      <c r="C20" s="40"/>
      <c r="D20" s="40">
        <f ca="1">2345*OFFSET(D$112,MATCH($N$1,$C$112:$C$113,0)-1,0)</f>
        <v>2345</v>
      </c>
      <c r="E20" s="40">
        <f ca="1">2575*OFFSET(E$112,MATCH($N$1,$C$112:$C$113,0)-1,0)</f>
        <v>2575</v>
      </c>
      <c r="F20" s="40">
        <f ca="1">2166*OFFSET(F$112,MATCH($N$1,$C$112:$C$113,0)-1,0)</f>
        <v>2166</v>
      </c>
      <c r="G20" s="40">
        <f ca="1">2400*OFFSET(G$112,MATCH($N$1,$C$112:$C$113,0)-1,0)</f>
        <v>2400</v>
      </c>
      <c r="H20" s="40">
        <f ca="1">2174*OFFSET(H$112,MATCH($N$1,$C$112:$C$113,0)-1,0)</f>
        <v>2174</v>
      </c>
      <c r="I20" s="40">
        <f ca="1">2377*OFFSET(I$112,MATCH($N$1,$C$112:$C$113,0)-1,0)</f>
        <v>2377</v>
      </c>
      <c r="J20" s="40">
        <f ca="1">2440*OFFSET(J$112,MATCH($N$1,$C$112:$C$113,0)-1,0)</f>
        <v>2440</v>
      </c>
      <c r="K20" s="40">
        <f ca="1">2277*OFFSET(K$112,MATCH($N$1,$C$112:$C$113,0)-1,0)</f>
        <v>2277</v>
      </c>
      <c r="L20" s="40">
        <f ca="1">2460*OFFSET(L$112,MATCH($N$1,$C$112:$C$113,0)-1,0)</f>
        <v>2460</v>
      </c>
      <c r="M20" s="40">
        <f ca="1">1741*OFFSET(M$112,MATCH($N$1,$C$112:$C$113,0)-1,0)</f>
        <v>1741</v>
      </c>
      <c r="N20" s="40">
        <v>1824</v>
      </c>
      <c r="O20" s="34">
        <f t="shared" ca="1" si="0"/>
        <v>-0.22217484008528784</v>
      </c>
      <c r="P20" s="34">
        <f t="shared" ca="1" si="1"/>
        <v>-0.25245901639344265</v>
      </c>
    </row>
    <row r="21" spans="1:16" ht="18" customHeight="1" x14ac:dyDescent="0.2">
      <c r="A21" s="197" t="s">
        <v>29</v>
      </c>
      <c r="B21" s="35" t="s">
        <v>66</v>
      </c>
      <c r="C21" s="41"/>
      <c r="D21" s="41">
        <v>2.6763904818963438</v>
      </c>
      <c r="E21" s="41">
        <v>2.493757903178019</v>
      </c>
      <c r="F21" s="41">
        <v>2.2692347110750757</v>
      </c>
      <c r="G21" s="41">
        <v>2.1480577556572968</v>
      </c>
      <c r="H21" s="41">
        <v>2.4498943991317526</v>
      </c>
      <c r="I21" s="41">
        <v>2.4082925636584998</v>
      </c>
      <c r="J21" s="41">
        <v>2.474903497071852</v>
      </c>
      <c r="K21" s="41">
        <v>2.3431638033052349</v>
      </c>
      <c r="L21" s="41">
        <v>2.6144015964114602</v>
      </c>
      <c r="M21" s="41">
        <v>2.9281541496958452</v>
      </c>
      <c r="N21" s="41">
        <v>2.8682818352284025</v>
      </c>
      <c r="O21" s="29">
        <f t="shared" si="0"/>
        <v>7.1697816379953289E-2</v>
      </c>
      <c r="P21" s="29">
        <f t="shared" si="1"/>
        <v>0.15894694020270719</v>
      </c>
    </row>
    <row r="22" spans="1:16" ht="18" customHeight="1" x14ac:dyDescent="0.2">
      <c r="A22" s="197"/>
      <c r="B22" s="37" t="s">
        <v>67</v>
      </c>
      <c r="C22" s="38"/>
      <c r="D22" s="38">
        <f ca="1">6.27531062128418*OFFSET(D$112,MATCH($N$1,$C$112:$C$113,0)-1,0)</f>
        <v>6.2753106212841798</v>
      </c>
      <c r="E22" s="38">
        <f ca="1">6.42182592812591*OFFSET(E$112,MATCH($N$1,$C$112:$C$113,0)-1,0)</f>
        <v>6.4218259281259096</v>
      </c>
      <c r="F22" s="38">
        <f ca="1">4.9158074137507*OFFSET(F$112,MATCH($N$1,$C$112:$C$113,0)-1,0)</f>
        <v>4.9158074137507004</v>
      </c>
      <c r="G22" s="38">
        <f ca="1">5.15583464922784*OFFSET(G$112,MATCH($N$1,$C$112:$C$113,0)-1,0)</f>
        <v>5.15583464922784</v>
      </c>
      <c r="H22" s="38">
        <f ca="1">5.32534792496922*OFFSET(H$112,MATCH($N$1,$C$112:$C$113,0)-1,0)</f>
        <v>5.3253479249692202</v>
      </c>
      <c r="I22" s="38">
        <f ca="1">5.72344514559019*OFFSET(I$112,MATCH($N$1,$C$112:$C$113,0)-1,0)</f>
        <v>5.7234451455901896</v>
      </c>
      <c r="J22" s="38">
        <f ca="1">6.03957892716596*OFFSET(J$112,MATCH($N$1,$C$112:$C$113,0)-1,0)</f>
        <v>6.0395789271659597</v>
      </c>
      <c r="K22" s="38">
        <f ca="1">5.33653163377798*OFFSET(K$112,MATCH($N$1,$C$112:$C$113,0)-1,0)</f>
        <v>5.3365316337779802</v>
      </c>
      <c r="L22" s="38">
        <f ca="1">6.43163894159053*OFFSET(L$112,MATCH($N$1,$C$112:$C$113,0)-1,0)</f>
        <v>6.4316389415905304</v>
      </c>
      <c r="M22" s="38">
        <f ca="1">5.09787598536376*OFFSET(M$112,MATCH($N$1,$C$112:$C$113,0)-1,0)</f>
        <v>5.0978759853637596</v>
      </c>
      <c r="N22" s="38">
        <v>5.2308073086446232</v>
      </c>
      <c r="O22" s="29">
        <f t="shared" ca="1" si="0"/>
        <v>-0.16644647184425898</v>
      </c>
      <c r="P22" s="29">
        <f t="shared" ca="1" si="1"/>
        <v>-0.13391192138966687</v>
      </c>
    </row>
    <row r="23" spans="1:16" ht="18" customHeight="1" x14ac:dyDescent="0.2">
      <c r="A23" s="197"/>
      <c r="B23" s="37" t="s">
        <v>11</v>
      </c>
      <c r="C23" s="38"/>
      <c r="D23" s="38">
        <f ca="1">5.25726657207812*OFFSET(D$112,MATCH($N$1,$C$112:$C$113,0)-1,0)</f>
        <v>5.2572665720781204</v>
      </c>
      <c r="E23" s="38">
        <f ca="1">4.84492472575458*OFFSET(E$112,MATCH($N$1,$C$112:$C$113,0)-1,0)</f>
        <v>4.8449247257545798</v>
      </c>
      <c r="F23" s="38">
        <f ca="1">4.12220674325174*OFFSET(F$112,MATCH($N$1,$C$112:$C$113,0)-1,0)</f>
        <v>4.1222067432517404</v>
      </c>
      <c r="G23" s="38">
        <f ca="1">4.2720725593608*OFFSET(G$112,MATCH($N$1,$C$112:$C$113,0)-1,0)</f>
        <v>4.2720725593608</v>
      </c>
      <c r="H23" s="38">
        <f ca="1">3.89505539104393*OFFSET(H$112,MATCH($N$1,$C$112:$C$113,0)-1,0)</f>
        <v>3.8950553910439298</v>
      </c>
      <c r="I23" s="38">
        <f ca="1">4.01739534888575*OFFSET(I$112,MATCH($N$1,$C$112:$C$113,0)-1,0)</f>
        <v>4.0173953488857501</v>
      </c>
      <c r="J23" s="38">
        <f ca="1">4.51684676517709*OFFSET(J$112,MATCH($N$1,$C$112:$C$113,0)-1,0)</f>
        <v>4.5168467651770898</v>
      </c>
      <c r="K23" s="38">
        <f ca="1">4.99258279879733*OFFSET(K$112,MATCH($N$1,$C$112:$C$113,0)-1,0)</f>
        <v>4.9925827987973301</v>
      </c>
      <c r="L23" s="38">
        <f ca="1">5.45608589738829*OFFSET(L$112,MATCH($N$1,$C$112:$C$113,0)-1,0)</f>
        <v>5.4560858973882898</v>
      </c>
      <c r="M23" s="38">
        <f ca="1">4.8485266418841*OFFSET(M$112,MATCH($N$1,$C$112:$C$113,0)-1,0)</f>
        <v>4.8485266418841002</v>
      </c>
      <c r="N23" s="38">
        <v>4.7386531048847376</v>
      </c>
      <c r="O23" s="29">
        <f t="shared" ca="1" si="0"/>
        <v>-9.8646979391874848E-2</v>
      </c>
      <c r="P23" s="29">
        <f t="shared" ca="1" si="1"/>
        <v>4.910645661430834E-2</v>
      </c>
    </row>
    <row r="24" spans="1:16" ht="18" customHeight="1" x14ac:dyDescent="0.2">
      <c r="A24" s="197"/>
      <c r="B24" s="37" t="s">
        <v>12</v>
      </c>
      <c r="C24" s="38"/>
      <c r="D24" s="38">
        <f ca="1">1.15087338622783*OFFSET(D$112,MATCH($N$1,$C$112:$C$113,0)-1,0)</f>
        <v>1.15087338622783</v>
      </c>
      <c r="E24" s="38">
        <f ca="1">1.65872746812129*OFFSET(E$112,MATCH($N$1,$C$112:$C$113,0)-1,0)</f>
        <v>1.65872746812129</v>
      </c>
      <c r="F24" s="38">
        <f ca="1">0.9899449206971*OFFSET(F$112,MATCH($N$1,$C$112:$C$113,0)-1,0)</f>
        <v>0.98994492069710005</v>
      </c>
      <c r="G24" s="38">
        <f ca="1">0.883814733642669*OFFSET(G$112,MATCH($N$1,$C$112:$C$113,0)-1,0)</f>
        <v>0.88381473364266905</v>
      </c>
      <c r="H24" s="38">
        <f ca="1">1.48033532768586*OFFSET(H$112,MATCH($N$1,$C$112:$C$113,0)-1,0)</f>
        <v>1.48033532768586</v>
      </c>
      <c r="I24" s="38">
        <f ca="1">1.73982669148587*OFFSET(I$112,MATCH($N$1,$C$112:$C$113,0)-1,0)</f>
        <v>1.73982669148587</v>
      </c>
      <c r="J24" s="38">
        <f ca="1">1.55595707002072*OFFSET(J$112,MATCH($N$1,$C$112:$C$113,0)-1,0)</f>
        <v>1.5559570700207199</v>
      </c>
      <c r="K24" s="38">
        <f ca="1">1.02597199269499*OFFSET(K$112,MATCH($N$1,$C$112:$C$113,0)-1,0)</f>
        <v>1.02597199269499</v>
      </c>
      <c r="L24" s="38">
        <f ca="1">1.95289792606107*OFFSET(L$112,MATCH($N$1,$C$112:$C$113,0)-1,0)</f>
        <v>1.9528979260610699</v>
      </c>
      <c r="M24" s="38">
        <f ca="1">1.07504968886237*OFFSET(M$112,MATCH($N$1,$C$112:$C$113,0)-1,0)</f>
        <v>1.07504968886237</v>
      </c>
      <c r="N24" s="38">
        <v>0.68749560816923605</v>
      </c>
      <c r="O24" s="29">
        <f t="shared" ca="1" si="0"/>
        <v>-0.40263141332808822</v>
      </c>
      <c r="P24" s="29">
        <f t="shared" ca="1" si="1"/>
        <v>-0.55815258568793225</v>
      </c>
    </row>
    <row r="25" spans="1:16" ht="18" customHeight="1" x14ac:dyDescent="0.2">
      <c r="A25" s="197"/>
      <c r="B25" s="37" t="s">
        <v>68</v>
      </c>
      <c r="C25" s="33"/>
      <c r="D25" s="33">
        <f ca="1">66.47*OFFSET(D$112,MATCH($N$1,$C$112:$C$113,0)-1,0)</f>
        <v>66.47</v>
      </c>
      <c r="E25" s="33">
        <f ca="1">64.11*OFFSET(E$112,MATCH($N$1,$C$112:$C$113,0)-1,0)</f>
        <v>64.11</v>
      </c>
      <c r="F25" s="33">
        <f ca="1">63.13*OFFSET(F$112,MATCH($N$1,$C$112:$C$113,0)-1,0)</f>
        <v>63.13</v>
      </c>
      <c r="G25" s="33">
        <f ca="1">59.67*OFFSET(G$112,MATCH($N$1,$C$112:$C$113,0)-1,0)</f>
        <v>59.67</v>
      </c>
      <c r="H25" s="33">
        <f ca="1">45.06*OFFSET(H$112,MATCH($N$1,$C$112:$C$113,0)-1,0)</f>
        <v>45.06</v>
      </c>
      <c r="I25" s="33">
        <f ca="1">50.66*OFFSET(I$112,MATCH($N$1,$C$112:$C$113,0)-1,0)</f>
        <v>50.66</v>
      </c>
      <c r="J25" s="33">
        <f ca="1">49.01*OFFSET(J$112,MATCH($N$1,$C$112:$C$113,0)-1,0)</f>
        <v>49.01</v>
      </c>
      <c r="K25" s="33">
        <f ca="1">40.45*OFFSET(K$112,MATCH($N$1,$C$112:$C$113,0)-1,0)</f>
        <v>40.450000000000003</v>
      </c>
      <c r="L25" s="33">
        <f ca="1">68.39*OFFSET(L$112,MATCH($N$1,$C$112:$C$113,0)-1,0)</f>
        <v>68.39</v>
      </c>
      <c r="M25" s="33">
        <f ca="1">44.53*OFFSET(M$112,MATCH($N$1,$C$112:$C$113,0)-1,0)</f>
        <v>44.53</v>
      </c>
      <c r="N25" s="33">
        <v>45.43</v>
      </c>
      <c r="O25" s="29">
        <f t="shared" ca="1" si="0"/>
        <v>-0.31653377463517374</v>
      </c>
      <c r="P25" s="29">
        <f t="shared" ca="1" si="1"/>
        <v>-7.304631707814728E-2</v>
      </c>
    </row>
    <row r="26" spans="1:16" ht="18" customHeight="1" x14ac:dyDescent="0.2">
      <c r="A26" s="198"/>
      <c r="B26" s="37" t="s">
        <v>69</v>
      </c>
      <c r="C26" s="33"/>
      <c r="D26" s="33">
        <f ca="1">12.19*OFFSET(D$112,MATCH($N$1,$C$112:$C$113,0)-1,0)</f>
        <v>12.19</v>
      </c>
      <c r="E26" s="33">
        <f ca="1">16.56*OFFSET(E$112,MATCH($N$1,$C$112:$C$113,0)-1,0)</f>
        <v>16.559999999999999</v>
      </c>
      <c r="F26" s="33">
        <f ca="1">12.72*OFFSET(F$112,MATCH($N$1,$C$112:$C$113,0)-1,0)</f>
        <v>12.72</v>
      </c>
      <c r="G26" s="33">
        <f ca="1">10.22*OFFSET(G$112,MATCH($N$1,$C$112:$C$113,0)-1,0)</f>
        <v>10.220000000000001</v>
      </c>
      <c r="H26" s="33">
        <f ca="1">12.53*OFFSET(H$112,MATCH($N$1,$C$112:$C$113,0)-1,0)</f>
        <v>12.53</v>
      </c>
      <c r="I26" s="33">
        <f ca="1">15.4*OFFSET(I$112,MATCH($N$1,$C$112:$C$113,0)-1,0)</f>
        <v>15.4</v>
      </c>
      <c r="J26" s="33">
        <f ca="1">12.63*OFFSET(J$112,MATCH($N$1,$C$112:$C$113,0)-1,0)</f>
        <v>12.63</v>
      </c>
      <c r="K26" s="33">
        <f ca="1">7.78*OFFSET(K$112,MATCH($N$1,$C$112:$C$113,0)-1,0)</f>
        <v>7.78</v>
      </c>
      <c r="L26" s="33">
        <f ca="1">20.77*OFFSET(L$112,MATCH($N$1,$C$112:$C$113,0)-1,0)</f>
        <v>20.77</v>
      </c>
      <c r="M26" s="33">
        <f ca="1">9.39*OFFSET(M$112,MATCH($N$1,$C$112:$C$113,0)-1,0)</f>
        <v>9.39</v>
      </c>
      <c r="N26" s="33">
        <v>5.98</v>
      </c>
      <c r="O26" s="34">
        <f t="shared" ca="1" si="0"/>
        <v>-0.50943396226415094</v>
      </c>
      <c r="P26" s="34">
        <f t="shared" ca="1" si="1"/>
        <v>-0.52652414885193977</v>
      </c>
    </row>
    <row r="27" spans="1:16" ht="18" customHeight="1" x14ac:dyDescent="0.2">
      <c r="A27" s="187" t="s">
        <v>30</v>
      </c>
      <c r="B27" s="35" t="s">
        <v>63</v>
      </c>
      <c r="C27" s="36"/>
      <c r="D27" s="36">
        <f ca="1">329.9*OFFSET(D$112,MATCH($N$1,$C$112:$C$113,0)-1,0)</f>
        <v>329.9</v>
      </c>
      <c r="E27" s="36">
        <f ca="1">315.2*OFFSET(E$112,MATCH($N$1,$C$112:$C$113,0)-1,0)</f>
        <v>315.2</v>
      </c>
      <c r="F27" s="36">
        <f ca="1">263.5*OFFSET(F$112,MATCH($N$1,$C$112:$C$113,0)-1,0)</f>
        <v>263.5</v>
      </c>
      <c r="G27" s="36">
        <f ca="1">294.3*OFFSET(G$112,MATCH($N$1,$C$112:$C$113,0)-1,0)</f>
        <v>294.3</v>
      </c>
      <c r="H27" s="36">
        <f ca="1">319*OFFSET(H$112,MATCH($N$1,$C$112:$C$113,0)-1,0)</f>
        <v>319</v>
      </c>
      <c r="I27" s="36">
        <f ca="1">308*OFFSET(I$112,MATCH($N$1,$C$112:$C$113,0)-1,0)</f>
        <v>308</v>
      </c>
      <c r="J27" s="36">
        <f ca="1">322.6*OFFSET(J$112,MATCH($N$1,$C$112:$C$113,0)-1,0)</f>
        <v>322.60000000000002</v>
      </c>
      <c r="K27" s="36">
        <f ca="1">292.7*OFFSET(K$112,MATCH($N$1,$C$112:$C$113,0)-1,0)</f>
        <v>292.7</v>
      </c>
      <c r="L27" s="36">
        <f ca="1">386.3*OFFSET(L$112,MATCH($N$1,$C$112:$C$113,0)-1,0)</f>
        <v>386.3</v>
      </c>
      <c r="M27" s="36">
        <f ca="1">252.7*OFFSET(M$112,MATCH($N$1,$C$112:$C$113,0)-1,0)</f>
        <v>252.7</v>
      </c>
      <c r="N27" s="36">
        <v>320.10000000000002</v>
      </c>
      <c r="O27" s="29">
        <f t="shared" ca="1" si="0"/>
        <v>-2.9705971506516989E-2</v>
      </c>
      <c r="P27" s="29">
        <f t="shared" ca="1" si="1"/>
        <v>-7.7495350278983252E-3</v>
      </c>
    </row>
    <row r="28" spans="1:16" ht="18" customHeight="1" x14ac:dyDescent="0.2">
      <c r="A28" s="199"/>
      <c r="B28" s="37" t="s">
        <v>70</v>
      </c>
      <c r="C28" s="33"/>
      <c r="D28" s="33">
        <f ca="1">7*OFFSET(D$112,MATCH($N$1,$C$112:$C$113,0)-1,0)</f>
        <v>7</v>
      </c>
      <c r="E28" s="33">
        <f ca="1">4*OFFSET(E$112,MATCH($N$1,$C$112:$C$113,0)-1,0)</f>
        <v>4</v>
      </c>
      <c r="F28" s="33">
        <f ca="1">10.5*OFFSET(F$112,MATCH($N$1,$C$112:$C$113,0)-1,0)</f>
        <v>10.5</v>
      </c>
      <c r="G28" s="33"/>
      <c r="H28" s="33">
        <f ca="1">3*OFFSET(H$112,MATCH($N$1,$C$112:$C$113,0)-1,0)</f>
        <v>3</v>
      </c>
      <c r="I28" s="33">
        <f ca="1">1.8*OFFSET(I$112,MATCH($N$1,$C$112:$C$113,0)-1,0)</f>
        <v>1.8</v>
      </c>
      <c r="J28" s="33">
        <f ca="1">1.8*OFFSET(J$112,MATCH($N$1,$C$112:$C$113,0)-1,0)</f>
        <v>1.8</v>
      </c>
      <c r="K28" s="33">
        <f ca="1">37.4*OFFSET(K$112,MATCH($N$1,$C$112:$C$113,0)-1,0)</f>
        <v>37.4</v>
      </c>
      <c r="L28" s="33">
        <f ca="1">58.7*OFFSET(L$112,MATCH($N$1,$C$112:$C$113,0)-1,0)</f>
        <v>58.7</v>
      </c>
      <c r="M28" s="33">
        <f ca="1">40.9*OFFSET(M$112,MATCH($N$1,$C$112:$C$113,0)-1,0)</f>
        <v>40.9</v>
      </c>
      <c r="N28" s="33">
        <v>12</v>
      </c>
      <c r="O28" s="29">
        <f t="shared" ca="1" si="0"/>
        <v>0.7142857142857143</v>
      </c>
      <c r="P28" s="29">
        <f t="shared" ca="1" si="1"/>
        <v>5.6666666666666661</v>
      </c>
    </row>
    <row r="29" spans="1:16" ht="18" customHeight="1" x14ac:dyDescent="0.2">
      <c r="A29" s="199"/>
      <c r="B29" s="42" t="s">
        <v>71</v>
      </c>
      <c r="C29" s="43"/>
      <c r="D29" s="43">
        <f ca="1">336.9*OFFSET(D$112,MATCH($N$1,$C$112:$C$113,0)-1,0)</f>
        <v>336.9</v>
      </c>
      <c r="E29" s="43">
        <f ca="1">319.2*OFFSET(E$112,MATCH($N$1,$C$112:$C$113,0)-1,0)</f>
        <v>319.2</v>
      </c>
      <c r="F29" s="43">
        <f ca="1">274*OFFSET(F$112,MATCH($N$1,$C$112:$C$113,0)-1,0)</f>
        <v>274</v>
      </c>
      <c r="G29" s="43">
        <f ca="1">294.3*OFFSET(G$112,MATCH($N$1,$C$112:$C$113,0)-1,0)</f>
        <v>294.3</v>
      </c>
      <c r="H29" s="43">
        <f ca="1">322*OFFSET(H$112,MATCH($N$1,$C$112:$C$113,0)-1,0)</f>
        <v>322</v>
      </c>
      <c r="I29" s="43">
        <f ca="1">309.8*OFFSET(I$112,MATCH($N$1,$C$112:$C$113,0)-1,0)</f>
        <v>309.8</v>
      </c>
      <c r="J29" s="43">
        <f ca="1">324.3*OFFSET(J$112,MATCH($N$1,$C$112:$C$113,0)-1,0)</f>
        <v>324.3</v>
      </c>
      <c r="K29" s="43">
        <f ca="1">330.1*OFFSET(K$112,MATCH($N$1,$C$112:$C$113,0)-1,0)</f>
        <v>330.1</v>
      </c>
      <c r="L29" s="43">
        <f ca="1">445*OFFSET(L$112,MATCH($N$1,$C$112:$C$113,0)-1,0)</f>
        <v>445</v>
      </c>
      <c r="M29" s="43">
        <f ca="1">293.6*OFFSET(M$112,MATCH($N$1,$C$112:$C$113,0)-1,0)</f>
        <v>293.60000000000002</v>
      </c>
      <c r="N29" s="43">
        <v>332.1</v>
      </c>
      <c r="O29" s="29">
        <f t="shared" ca="1" si="0"/>
        <v>-1.4247551202136999E-2</v>
      </c>
      <c r="P29" s="29">
        <f t="shared" ca="1" si="1"/>
        <v>2.4051803885291431E-2</v>
      </c>
    </row>
    <row r="30" spans="1:16" ht="18" customHeight="1" x14ac:dyDescent="0.2">
      <c r="A30" s="199"/>
      <c r="B30" s="37" t="s">
        <v>72</v>
      </c>
      <c r="C30" s="33"/>
      <c r="D30" s="33">
        <f ca="1">74.6*OFFSET(D$112,MATCH($N$1,$C$112:$C$113,0)-1,0)</f>
        <v>74.599999999999994</v>
      </c>
      <c r="E30" s="33">
        <f ca="1">70.8*OFFSET(E$112,MATCH($N$1,$C$112:$C$113,0)-1,0)</f>
        <v>70.8</v>
      </c>
      <c r="F30" s="33">
        <f ca="1">71*OFFSET(F$112,MATCH($N$1,$C$112:$C$113,0)-1,0)</f>
        <v>71</v>
      </c>
      <c r="G30" s="33">
        <f ca="1">69.2*OFFSET(G$112,MATCH($N$1,$C$112:$C$113,0)-1,0)</f>
        <v>69.2</v>
      </c>
      <c r="H30" s="33">
        <f ca="1">51.8*OFFSET(H$112,MATCH($N$1,$C$112:$C$113,0)-1,0)</f>
        <v>51.8</v>
      </c>
      <c r="I30" s="33">
        <f ca="1">41.1*OFFSET(I$112,MATCH($N$1,$C$112:$C$113,0)-1,0)</f>
        <v>41.1</v>
      </c>
      <c r="J30" s="33">
        <f ca="1">50.6*OFFSET(J$112,MATCH($N$1,$C$112:$C$113,0)-1,0)</f>
        <v>50.6</v>
      </c>
      <c r="K30" s="33">
        <f ca="1">60.9*OFFSET(K$112,MATCH($N$1,$C$112:$C$113,0)-1,0)</f>
        <v>60.9</v>
      </c>
      <c r="L30" s="33">
        <f ca="1">65.2*OFFSET(L$112,MATCH($N$1,$C$112:$C$113,0)-1,0)</f>
        <v>65.2</v>
      </c>
      <c r="M30" s="33">
        <f ca="1">38.5*OFFSET(M$112,MATCH($N$1,$C$112:$C$113,0)-1,0)</f>
        <v>38.5</v>
      </c>
      <c r="N30" s="33">
        <v>56.9</v>
      </c>
      <c r="O30" s="29">
        <f t="shared" ca="1" si="0"/>
        <v>-0.23726541554959782</v>
      </c>
      <c r="P30" s="29">
        <f t="shared" ca="1" si="1"/>
        <v>0.12450592885375487</v>
      </c>
    </row>
    <row r="31" spans="1:16" ht="18" customHeight="1" x14ac:dyDescent="0.2">
      <c r="A31" s="199"/>
      <c r="B31" s="37" t="s">
        <v>73</v>
      </c>
      <c r="C31" s="33"/>
      <c r="D31" s="33">
        <f ca="1">88.8*OFFSET(D$112,MATCH($N$1,$C$112:$C$113,0)-1,0)</f>
        <v>88.8</v>
      </c>
      <c r="E31" s="33">
        <f ca="1">82.7*OFFSET(E$112,MATCH($N$1,$C$112:$C$113,0)-1,0)</f>
        <v>82.7</v>
      </c>
      <c r="F31" s="33">
        <f ca="1">63.1*OFFSET(F$112,MATCH($N$1,$C$112:$C$113,0)-1,0)</f>
        <v>63.1</v>
      </c>
      <c r="G31" s="33">
        <f ca="1">68.3*OFFSET(G$112,MATCH($N$1,$C$112:$C$113,0)-1,0)</f>
        <v>68.3</v>
      </c>
      <c r="H31" s="33">
        <f ca="1">93.9*OFFSET(H$112,MATCH($N$1,$C$112:$C$113,0)-1,0)</f>
        <v>93.9</v>
      </c>
      <c r="I31" s="33">
        <f ca="1">97*OFFSET(I$112,MATCH($N$1,$C$112:$C$113,0)-1,0)</f>
        <v>97</v>
      </c>
      <c r="J31" s="33">
        <f ca="1">90.8*OFFSET(J$112,MATCH($N$1,$C$112:$C$113,0)-1,0)</f>
        <v>90.8</v>
      </c>
      <c r="K31" s="33">
        <f ca="1">108*OFFSET(K$112,MATCH($N$1,$C$112:$C$113,0)-1,0)</f>
        <v>108</v>
      </c>
      <c r="L31" s="33">
        <f ca="1">122.4*OFFSET(L$112,MATCH($N$1,$C$112:$C$113,0)-1,0)</f>
        <v>122.4</v>
      </c>
      <c r="M31" s="33">
        <f ca="1">90.8*OFFSET(M$112,MATCH($N$1,$C$112:$C$113,0)-1,0)</f>
        <v>90.8</v>
      </c>
      <c r="N31" s="33">
        <v>110.9</v>
      </c>
      <c r="O31" s="29">
        <f t="shared" ca="1" si="0"/>
        <v>0.24887387387387397</v>
      </c>
      <c r="P31" s="29">
        <f t="shared" ca="1" si="1"/>
        <v>0.22136563876651993</v>
      </c>
    </row>
    <row r="32" spans="1:16" ht="18" customHeight="1" x14ac:dyDescent="0.2">
      <c r="A32" s="199"/>
      <c r="B32" s="37" t="s">
        <v>74</v>
      </c>
      <c r="C32" s="33"/>
      <c r="D32" s="33">
        <f ca="1">46.7*OFFSET(D$112,MATCH($N$1,$C$112:$C$113,0)-1,0)</f>
        <v>46.7</v>
      </c>
      <c r="E32" s="33">
        <f ca="1">46.8*OFFSET(E$112,MATCH($N$1,$C$112:$C$113,0)-1,0)</f>
        <v>46.8</v>
      </c>
      <c r="F32" s="33">
        <f ca="1">40.6*OFFSET(F$112,MATCH($N$1,$C$112:$C$113,0)-1,0)</f>
        <v>40.6</v>
      </c>
      <c r="G32" s="33">
        <f ca="1">41.3*OFFSET(G$112,MATCH($N$1,$C$112:$C$113,0)-1,0)</f>
        <v>41.3</v>
      </c>
      <c r="H32" s="33">
        <f ca="1">41.9*OFFSET(H$112,MATCH($N$1,$C$112:$C$113,0)-1,0)</f>
        <v>41.9</v>
      </c>
      <c r="I32" s="33">
        <f ca="1">33.8*OFFSET(I$112,MATCH($N$1,$C$112:$C$113,0)-1,0)</f>
        <v>33.799999999999997</v>
      </c>
      <c r="J32" s="33">
        <f ca="1">45.2*OFFSET(J$112,MATCH($N$1,$C$112:$C$113,0)-1,0)</f>
        <v>45.2</v>
      </c>
      <c r="K32" s="33">
        <f ca="1">29.9*OFFSET(K$112,MATCH($N$1,$C$112:$C$113,0)-1,0)</f>
        <v>29.9</v>
      </c>
      <c r="L32" s="33">
        <f ca="1">50.3*OFFSET(L$112,MATCH($N$1,$C$112:$C$113,0)-1,0)</f>
        <v>50.3</v>
      </c>
      <c r="M32" s="33">
        <f ca="1">40*OFFSET(M$112,MATCH($N$1,$C$112:$C$113,0)-1,0)</f>
        <v>40</v>
      </c>
      <c r="N32" s="33">
        <v>50.7</v>
      </c>
      <c r="O32" s="29">
        <f t="shared" ca="1" si="0"/>
        <v>8.5653104925053528E-2</v>
      </c>
      <c r="P32" s="29">
        <f t="shared" ca="1" si="1"/>
        <v>0.12168141592920353</v>
      </c>
    </row>
    <row r="33" spans="1:16" ht="18" customHeight="1" x14ac:dyDescent="0.2">
      <c r="A33" s="199"/>
      <c r="B33" s="37" t="s">
        <v>75</v>
      </c>
      <c r="C33" s="33"/>
      <c r="D33" s="33">
        <f ca="1">210*OFFSET(D$112,MATCH($N$1,$C$112:$C$113,0)-1,0)</f>
        <v>210</v>
      </c>
      <c r="E33" s="33">
        <f ca="1">200.3*OFFSET(E$112,MATCH($N$1,$C$112:$C$113,0)-1,0)</f>
        <v>200.3</v>
      </c>
      <c r="F33" s="33">
        <f ca="1">174.8*OFFSET(F$112,MATCH($N$1,$C$112:$C$113,0)-1,0)</f>
        <v>174.8</v>
      </c>
      <c r="G33" s="33">
        <f ca="1">178.8*OFFSET(G$112,MATCH($N$1,$C$112:$C$113,0)-1,0)</f>
        <v>178.8</v>
      </c>
      <c r="H33" s="33">
        <f ca="1">187.5*OFFSET(H$112,MATCH($N$1,$C$112:$C$113,0)-1,0)</f>
        <v>187.5</v>
      </c>
      <c r="I33" s="33">
        <f ca="1">172*OFFSET(I$112,MATCH($N$1,$C$112:$C$113,0)-1,0)</f>
        <v>172</v>
      </c>
      <c r="J33" s="33">
        <f ca="1">186.5*OFFSET(J$112,MATCH($N$1,$C$112:$C$113,0)-1,0)</f>
        <v>186.5</v>
      </c>
      <c r="K33" s="33">
        <f ca="1">198.7*OFFSET(K$112,MATCH($N$1,$C$112:$C$113,0)-1,0)</f>
        <v>198.7</v>
      </c>
      <c r="L33" s="33">
        <f ca="1">237.8*OFFSET(L$112,MATCH($N$1,$C$112:$C$113,0)-1,0)</f>
        <v>237.8</v>
      </c>
      <c r="M33" s="33">
        <f ca="1">169.4*OFFSET(M$112,MATCH($N$1,$C$112:$C$113,0)-1,0)</f>
        <v>169.4</v>
      </c>
      <c r="N33" s="33">
        <v>218.5</v>
      </c>
      <c r="O33" s="29">
        <f t="shared" ca="1" si="0"/>
        <v>4.0476190476190478E-2</v>
      </c>
      <c r="P33" s="29">
        <f t="shared" ca="1" si="1"/>
        <v>0.17158176943699732</v>
      </c>
    </row>
    <row r="34" spans="1:16" ht="18" customHeight="1" x14ac:dyDescent="0.2">
      <c r="A34" s="199"/>
      <c r="B34" s="37" t="s">
        <v>76</v>
      </c>
      <c r="C34" s="33"/>
      <c r="D34" s="33">
        <f ca="1">66.4*OFFSET(D$112,MATCH($N$1,$C$112:$C$113,0)-1,0)</f>
        <v>66.400000000000006</v>
      </c>
      <c r="E34" s="33">
        <f ca="1">37.5*OFFSET(E$112,MATCH($N$1,$C$112:$C$113,0)-1,0)</f>
        <v>37.5</v>
      </c>
      <c r="F34" s="33">
        <f ca="1">46.2*OFFSET(F$112,MATCH($N$1,$C$112:$C$113,0)-1,0)</f>
        <v>46.2</v>
      </c>
      <c r="G34" s="33">
        <f ca="1">65*OFFSET(G$112,MATCH($N$1,$C$112:$C$113,0)-1,0)</f>
        <v>65</v>
      </c>
      <c r="H34" s="33">
        <f ca="1">45.8*OFFSET(H$112,MATCH($N$1,$C$112:$C$113,0)-1,0)</f>
        <v>45.8</v>
      </c>
      <c r="I34" s="33">
        <f ca="1">44.2*OFFSET(I$112,MATCH($N$1,$C$112:$C$113,0)-1,0)</f>
        <v>44.2</v>
      </c>
      <c r="J34" s="33">
        <f ca="1">54.7*OFFSET(J$112,MATCH($N$1,$C$112:$C$113,0)-1,0)</f>
        <v>54.7</v>
      </c>
      <c r="K34" s="33">
        <f ca="1">75.1*OFFSET(K$112,MATCH($N$1,$C$112:$C$113,0)-1,0)</f>
        <v>75.099999999999994</v>
      </c>
      <c r="L34" s="33">
        <f ca="1">89.9*OFFSET(L$112,MATCH($N$1,$C$112:$C$113,0)-1,0)</f>
        <v>89.9</v>
      </c>
      <c r="M34" s="33">
        <f ca="1">70.9*OFFSET(M$112,MATCH($N$1,$C$112:$C$113,0)-1,0)</f>
        <v>70.900000000000006</v>
      </c>
      <c r="N34" s="33">
        <v>71.5</v>
      </c>
      <c r="O34" s="29">
        <f t="shared" ca="1" si="0"/>
        <v>7.6807228915662565E-2</v>
      </c>
      <c r="P34" s="29">
        <f t="shared" ca="1" si="1"/>
        <v>0.30712979890310782</v>
      </c>
    </row>
    <row r="35" spans="1:16" ht="18" customHeight="1" x14ac:dyDescent="0.2">
      <c r="A35" s="199"/>
      <c r="B35" s="37" t="s">
        <v>77</v>
      </c>
      <c r="C35" s="33"/>
      <c r="D35" s="33">
        <f ca="1">276.4*OFFSET(D$112,MATCH($N$1,$C$112:$C$113,0)-1,0)</f>
        <v>276.39999999999998</v>
      </c>
      <c r="E35" s="33">
        <f ca="1">237.8*OFFSET(E$112,MATCH($N$1,$C$112:$C$113,0)-1,0)</f>
        <v>237.8</v>
      </c>
      <c r="F35" s="33">
        <f ca="1">220.9*OFFSET(F$112,MATCH($N$1,$C$112:$C$113,0)-1,0)</f>
        <v>220.9</v>
      </c>
      <c r="G35" s="33">
        <f ca="1">243.8*OFFSET(G$112,MATCH($N$1,$C$112:$C$113,0)-1,0)</f>
        <v>243.8</v>
      </c>
      <c r="H35" s="33">
        <f ca="1">233.3*OFFSET(H$112,MATCH($N$1,$C$112:$C$113,0)-1,0)</f>
        <v>233.3</v>
      </c>
      <c r="I35" s="33">
        <f ca="1">216.2*OFFSET(I$112,MATCH($N$1,$C$112:$C$113,0)-1,0)</f>
        <v>216.2</v>
      </c>
      <c r="J35" s="33">
        <f ca="1">241.2*OFFSET(J$112,MATCH($N$1,$C$112:$C$113,0)-1,0)</f>
        <v>241.2</v>
      </c>
      <c r="K35" s="33">
        <f ca="1">273.8*OFFSET(K$112,MATCH($N$1,$C$112:$C$113,0)-1,0)</f>
        <v>273.8</v>
      </c>
      <c r="L35" s="33">
        <f ca="1">327.7*OFFSET(L$112,MATCH($N$1,$C$112:$C$113,0)-1,0)</f>
        <v>327.7</v>
      </c>
      <c r="M35" s="33">
        <f ca="1">240.3*OFFSET(M$112,MATCH($N$1,$C$112:$C$113,0)-1,0)</f>
        <v>240.3</v>
      </c>
      <c r="N35" s="33">
        <v>290</v>
      </c>
      <c r="O35" s="29">
        <f t="shared" ca="1" si="0"/>
        <v>4.9204052098408189E-2</v>
      </c>
      <c r="P35" s="29">
        <f t="shared" ca="1" si="1"/>
        <v>0.20232172470978446</v>
      </c>
    </row>
    <row r="36" spans="1:16" ht="18" customHeight="1" x14ac:dyDescent="0.2">
      <c r="A36" s="199"/>
      <c r="B36" s="42" t="s">
        <v>78</v>
      </c>
      <c r="C36" s="43"/>
      <c r="D36" s="43">
        <f ca="1">149.3*OFFSET(D$112,MATCH($N$1,$C$112:$C$113,0)-1,0)</f>
        <v>149.30000000000001</v>
      </c>
      <c r="E36" s="43">
        <f ca="1">164.1*OFFSET(E$112,MATCH($N$1,$C$112:$C$113,0)-1,0)</f>
        <v>164.1</v>
      </c>
      <c r="F36" s="43">
        <f ca="1">116.2*OFFSET(F$112,MATCH($N$1,$C$112:$C$113,0)-1,0)</f>
        <v>116.2</v>
      </c>
      <c r="G36" s="43">
        <f ca="1">118.7*OFFSET(G$112,MATCH($N$1,$C$112:$C$113,0)-1,0)</f>
        <v>118.7</v>
      </c>
      <c r="H36" s="43">
        <f ca="1">182.6*OFFSET(H$112,MATCH($N$1,$C$112:$C$113,0)-1,0)</f>
        <v>182.6</v>
      </c>
      <c r="I36" s="43">
        <f ca="1">190.6*OFFSET(I$112,MATCH($N$1,$C$112:$C$113,0)-1,0)</f>
        <v>190.6</v>
      </c>
      <c r="J36" s="43">
        <f ca="1">173.9*OFFSET(J$112,MATCH($N$1,$C$112:$C$113,0)-1,0)</f>
        <v>173.9</v>
      </c>
      <c r="K36" s="43">
        <f ca="1">164.3*OFFSET(K$112,MATCH($N$1,$C$112:$C$113,0)-1,0)</f>
        <v>164.3</v>
      </c>
      <c r="L36" s="43">
        <f ca="1">239.7*OFFSET(L$112,MATCH($N$1,$C$112:$C$113,0)-1,0)</f>
        <v>239.7</v>
      </c>
      <c r="M36" s="43">
        <f ca="1">144.1*OFFSET(M$112,MATCH($N$1,$C$112:$C$113,0)-1,0)</f>
        <v>144.1</v>
      </c>
      <c r="N36" s="43">
        <v>153</v>
      </c>
      <c r="O36" s="29">
        <f t="shared" ca="1" si="0"/>
        <v>2.4782317481580631E-2</v>
      </c>
      <c r="P36" s="29">
        <f t="shared" ca="1" si="1"/>
        <v>-0.12018401380103511</v>
      </c>
    </row>
    <row r="37" spans="1:16" ht="18" customHeight="1" x14ac:dyDescent="0.2">
      <c r="A37" s="199"/>
      <c r="B37" s="42" t="s">
        <v>79</v>
      </c>
      <c r="C37" s="43"/>
      <c r="D37" s="43">
        <f ca="1">60.5*OFFSET(D$112,MATCH($N$1,$C$112:$C$113,0)-1,0)</f>
        <v>60.5</v>
      </c>
      <c r="E37" s="43">
        <f ca="1">81.4*OFFSET(E$112,MATCH($N$1,$C$112:$C$113,0)-1,0)</f>
        <v>81.400000000000006</v>
      </c>
      <c r="F37" s="43">
        <f ca="1">53.1*OFFSET(F$112,MATCH($N$1,$C$112:$C$113,0)-1,0)</f>
        <v>53.1</v>
      </c>
      <c r="G37" s="43">
        <f ca="1">50.4*OFFSET(G$112,MATCH($N$1,$C$112:$C$113,0)-1,0)</f>
        <v>50.4</v>
      </c>
      <c r="H37" s="43">
        <f ca="1">88.7*OFFSET(H$112,MATCH($N$1,$C$112:$C$113,0)-1,0)</f>
        <v>88.7</v>
      </c>
      <c r="I37" s="43">
        <f ca="1">93.6*OFFSET(I$112,MATCH($N$1,$C$112:$C$113,0)-1,0)</f>
        <v>93.6</v>
      </c>
      <c r="J37" s="43">
        <f ca="1">83.1*OFFSET(J$112,MATCH($N$1,$C$112:$C$113,0)-1,0)</f>
        <v>83.1</v>
      </c>
      <c r="K37" s="43">
        <f ca="1">56.3*OFFSET(K$112,MATCH($N$1,$C$112:$C$113,0)-1,0)</f>
        <v>56.3</v>
      </c>
      <c r="L37" s="43">
        <f ca="1">117.3*OFFSET(L$112,MATCH($N$1,$C$112:$C$113,0)-1,0)</f>
        <v>117.3</v>
      </c>
      <c r="M37" s="43">
        <f ca="1">53.3*OFFSET(M$112,MATCH($N$1,$C$112:$C$113,0)-1,0)</f>
        <v>53.3</v>
      </c>
      <c r="N37" s="43">
        <v>42.1</v>
      </c>
      <c r="O37" s="29">
        <f t="shared" ca="1" si="0"/>
        <v>-0.30413223140495865</v>
      </c>
      <c r="P37" s="29">
        <f t="shared" ca="1" si="1"/>
        <v>-0.49338146811070993</v>
      </c>
    </row>
    <row r="38" spans="1:16" ht="18" customHeight="1" x14ac:dyDescent="0.2">
      <c r="A38" s="199"/>
      <c r="B38" s="37" t="s">
        <v>80</v>
      </c>
      <c r="C38" s="33"/>
      <c r="D38" s="33">
        <f ca="1">9*OFFSET(D$112,MATCH($N$1,$C$112:$C$113,0)-1,0)</f>
        <v>9</v>
      </c>
      <c r="E38" s="33">
        <f ca="1">6.5*OFFSET(E$112,MATCH($N$1,$C$112:$C$113,0)-1,0)</f>
        <v>6.5</v>
      </c>
      <c r="F38" s="33">
        <f ca="1">23.6*OFFSET(F$112,MATCH($N$1,$C$112:$C$113,0)-1,0)</f>
        <v>23.6</v>
      </c>
      <c r="G38" s="33">
        <f ca="1">12.4*OFFSET(G$112,MATCH($N$1,$C$112:$C$113,0)-1,0)</f>
        <v>12.4</v>
      </c>
      <c r="H38" s="33">
        <f ca="1">20.7*OFFSET(H$112,MATCH($N$1,$C$112:$C$113,0)-1,0)</f>
        <v>20.7</v>
      </c>
      <c r="I38" s="33">
        <f ca="1">45.3*OFFSET(I$112,MATCH($N$1,$C$112:$C$113,0)-1,0)</f>
        <v>45.3</v>
      </c>
      <c r="J38" s="33">
        <f ca="1">52.9*OFFSET(J$112,MATCH($N$1,$C$112:$C$113,0)-1,0)</f>
        <v>52.9</v>
      </c>
      <c r="K38" s="33">
        <f ca="1">14.9*OFFSET(K$112,MATCH($N$1,$C$112:$C$113,0)-1,0)</f>
        <v>14.9</v>
      </c>
      <c r="L38" s="33">
        <f ca="1">14.8*OFFSET(L$112,MATCH($N$1,$C$112:$C$113,0)-1,0)</f>
        <v>14.8</v>
      </c>
      <c r="M38" s="33">
        <f ca="1">7.4*OFFSET(M$112,MATCH($N$1,$C$112:$C$113,0)-1,0)</f>
        <v>7.4</v>
      </c>
      <c r="N38" s="33"/>
      <c r="O38" s="29" t="str">
        <f t="shared" si="0"/>
        <v/>
      </c>
      <c r="P38" s="29" t="str">
        <f t="shared" si="1"/>
        <v/>
      </c>
    </row>
    <row r="39" spans="1:16" ht="18" customHeight="1" x14ac:dyDescent="0.2">
      <c r="A39" s="199"/>
      <c r="B39" s="37" t="s">
        <v>81</v>
      </c>
      <c r="C39" s="33"/>
      <c r="D39" s="33">
        <f ca="1">2.5*OFFSET(D$112,MATCH($N$1,$C$112:$C$113,0)-1,0)</f>
        <v>2.5</v>
      </c>
      <c r="E39" s="33">
        <f ca="1">0.8*OFFSET(E$112,MATCH($N$1,$C$112:$C$113,0)-1,0)</f>
        <v>0.8</v>
      </c>
      <c r="F39" s="33">
        <f ca="1">5.5*OFFSET(F$112,MATCH($N$1,$C$112:$C$113,0)-1,0)</f>
        <v>5.5</v>
      </c>
      <c r="G39" s="33">
        <f ca="1">2.7*OFFSET(G$112,MATCH($N$1,$C$112:$C$113,0)-1,0)</f>
        <v>2.7</v>
      </c>
      <c r="H39" s="33">
        <f ca="1">3.3*OFFSET(H$112,MATCH($N$1,$C$112:$C$113,0)-1,0)</f>
        <v>3.3</v>
      </c>
      <c r="I39" s="33">
        <f ca="1">2*OFFSET(I$112,MATCH($N$1,$C$112:$C$113,0)-1,0)</f>
        <v>2</v>
      </c>
      <c r="J39" s="33">
        <f ca="1">2.9*OFFSET(J$112,MATCH($N$1,$C$112:$C$113,0)-1,0)</f>
        <v>2.9</v>
      </c>
      <c r="K39" s="33">
        <f ca="1">2.7*OFFSET(K$112,MATCH($N$1,$C$112:$C$113,0)-1,0)</f>
        <v>2.7</v>
      </c>
      <c r="L39" s="33">
        <f ca="1">5.1*OFFSET(L$112,MATCH($N$1,$C$112:$C$113,0)-1,0)</f>
        <v>5.0999999999999996</v>
      </c>
      <c r="M39" s="33">
        <f ca="1">3.1*OFFSET(M$112,MATCH($N$1,$C$112:$C$113,0)-1,0)</f>
        <v>3.1</v>
      </c>
      <c r="N39" s="33"/>
      <c r="O39" s="29" t="str">
        <f t="shared" si="0"/>
        <v/>
      </c>
      <c r="P39" s="29" t="str">
        <f t="shared" si="1"/>
        <v/>
      </c>
    </row>
    <row r="40" spans="1:16" ht="18" customHeight="1" x14ac:dyDescent="0.2">
      <c r="A40" s="199"/>
      <c r="B40" s="37" t="s">
        <v>82</v>
      </c>
      <c r="C40" s="33"/>
      <c r="D40" s="33">
        <f ca="1">4.8*OFFSET(D$112,MATCH($N$1,$C$112:$C$113,0)-1,0)</f>
        <v>4.8</v>
      </c>
      <c r="E40" s="33">
        <f ca="1">0.8*OFFSET(E$112,MATCH($N$1,$C$112:$C$113,0)-1,0)</f>
        <v>0.8</v>
      </c>
      <c r="F40" s="33">
        <f ca="1">4.9*OFFSET(F$112,MATCH($N$1,$C$112:$C$113,0)-1,0)</f>
        <v>4.9000000000000004</v>
      </c>
      <c r="G40" s="33">
        <f ca="1">2.2*OFFSET(G$112,MATCH($N$1,$C$112:$C$113,0)-1,0)</f>
        <v>2.2000000000000002</v>
      </c>
      <c r="H40" s="33">
        <f ca="1">26.7*OFFSET(H$112,MATCH($N$1,$C$112:$C$113,0)-1,0)</f>
        <v>26.7</v>
      </c>
      <c r="I40" s="33">
        <f ca="1">0.3*OFFSET(I$112,MATCH($N$1,$C$112:$C$113,0)-1,0)</f>
        <v>0.3</v>
      </c>
      <c r="J40" s="33">
        <f ca="1">1*OFFSET(J$112,MATCH($N$1,$C$112:$C$113,0)-1,0)</f>
        <v>1</v>
      </c>
      <c r="K40" s="33">
        <f ca="1">0.4*OFFSET(K$112,MATCH($N$1,$C$112:$C$113,0)-1,0)</f>
        <v>0.4</v>
      </c>
      <c r="L40" s="33">
        <f ca="1">0.3*OFFSET(L$112,MATCH($N$1,$C$112:$C$113,0)-1,0)</f>
        <v>0.3</v>
      </c>
      <c r="M40" s="33">
        <f ca="1">0.3*OFFSET(M$112,MATCH($N$1,$C$112:$C$113,0)-1,0)</f>
        <v>0.3</v>
      </c>
      <c r="N40" s="33"/>
      <c r="O40" s="29" t="str">
        <f t="shared" si="0"/>
        <v/>
      </c>
      <c r="P40" s="29" t="str">
        <f t="shared" si="1"/>
        <v/>
      </c>
    </row>
    <row r="41" spans="1:16" ht="18" customHeight="1" thickBot="1" x14ac:dyDescent="0.25">
      <c r="A41" s="200"/>
      <c r="B41" s="44" t="s">
        <v>83</v>
      </c>
      <c r="C41" s="45"/>
      <c r="D41" s="45">
        <f ca="1">44.1*OFFSET(D$112,MATCH($N$1,$C$112:$C$113,0)-1,0)</f>
        <v>44.1</v>
      </c>
      <c r="E41" s="45">
        <f ca="1">73.4*OFFSET(E$112,MATCH($N$1,$C$112:$C$113,0)-1,0)</f>
        <v>73.400000000000006</v>
      </c>
      <c r="F41" s="45">
        <f ca="1">19.1*OFFSET(F$112,MATCH($N$1,$C$112:$C$113,0)-1,0)</f>
        <v>19.100000000000001</v>
      </c>
      <c r="G41" s="45">
        <f ca="1">33.1*OFFSET(G$112,MATCH($N$1,$C$112:$C$113,0)-1,0)</f>
        <v>33.1</v>
      </c>
      <c r="H41" s="45">
        <f ca="1">38*OFFSET(H$112,MATCH($N$1,$C$112:$C$113,0)-1,0)</f>
        <v>38</v>
      </c>
      <c r="I41" s="45">
        <f ca="1">46*OFFSET(I$112,MATCH($N$1,$C$112:$C$113,0)-1,0)</f>
        <v>46</v>
      </c>
      <c r="J41" s="45">
        <f ca="1">26.2*OFFSET(J$112,MATCH($N$1,$C$112:$C$113,0)-1,0)</f>
        <v>26.2</v>
      </c>
      <c r="K41" s="45">
        <f ca="1">38.3*OFFSET(K$112,MATCH($N$1,$C$112:$C$113,0)-1,0)</f>
        <v>38.299999999999997</v>
      </c>
      <c r="L41" s="45">
        <f ca="1">97.1*OFFSET(L$112,MATCH($N$1,$C$112:$C$113,0)-1,0)</f>
        <v>97.1</v>
      </c>
      <c r="M41" s="45">
        <f ca="1">11*OFFSET(M$112,MATCH($N$1,$C$112:$C$113,0)-1,0)</f>
        <v>11</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130</v>
      </c>
      <c r="F46" s="94" t="s">
        <v>22</v>
      </c>
      <c r="G46" s="94" t="s">
        <v>130</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Area VIIA nephrops over 250kW</v>
      </c>
      <c r="C48" s="96"/>
      <c r="D48" s="96"/>
      <c r="E48" s="96"/>
      <c r="F48" s="96"/>
      <c r="G48" s="96"/>
      <c r="K48" s="96" t="str">
        <f>$B24&amp;CHAR(10)&amp;$A$1</f>
        <v>Operating profit per kW day at sea (£)
Area VIIA nephrops over 250kW</v>
      </c>
    </row>
    <row r="49" spans="1:11" s="82" customFormat="1" x14ac:dyDescent="0.2">
      <c r="A49" s="96" t="str">
        <f>$B22&amp;CHAR(10)&amp;$A$1</f>
        <v>Fishing income per kW day at sea (£)
Area VIIA nephrops over 250kW</v>
      </c>
    </row>
    <row r="50" spans="1:11" s="82" customFormat="1" x14ac:dyDescent="0.2">
      <c r="A50" s="96" t="str">
        <f>$B20&amp;CHAR(10)&amp;$A$1</f>
        <v>Average price per tonne landed (£)
Area VIIA nephrops over 250kW</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Area VIIA nephrops over 250kW</v>
      </c>
      <c r="F62" s="96" t="str">
        <f>$B20&amp;CHAR(10)&amp;$A$1</f>
        <v>Average price per tonne landed (£)
Area VIIA nephrops over 250kW</v>
      </c>
      <c r="K62" s="96" t="str">
        <f>"Average annual operating profit per vessel (£'000)"&amp;CHAR(10)&amp;$A$1</f>
        <v>Average annual operating profit per vessel (£'000)
Area VIIA nephrops over 250kW</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Area VIIA nephrops over 250kW</v>
      </c>
      <c r="F76" s="96" t="str">
        <f>"Top 5 landed species by value in "&amp;A77&amp;CHAR(10)&amp;A1</f>
        <v>Top 5 landed species by value in 2020
Area VIIA nephrops over 250kW</v>
      </c>
    </row>
    <row r="77" spans="1:11" s="96" customFormat="1" x14ac:dyDescent="0.2">
      <c r="A77" s="96">
        <v>2020</v>
      </c>
      <c r="B77" s="96" t="s">
        <v>131</v>
      </c>
      <c r="C77" s="97">
        <v>0.83984275798917885</v>
      </c>
      <c r="D77" s="98">
        <v>12153634</v>
      </c>
      <c r="G77" s="96" t="s">
        <v>132</v>
      </c>
      <c r="H77" s="97">
        <v>0.92341228690734312</v>
      </c>
      <c r="I77" s="98">
        <v>12153634</v>
      </c>
      <c r="K77" s="96" t="s">
        <v>87</v>
      </c>
    </row>
    <row r="78" spans="1:11" s="96" customFormat="1" x14ac:dyDescent="0.2">
      <c r="B78" s="96" t="s">
        <v>133</v>
      </c>
      <c r="C78" s="97">
        <v>0.10227055179782348</v>
      </c>
      <c r="D78" s="98">
        <v>3050596</v>
      </c>
      <c r="G78" s="96" t="s">
        <v>134</v>
      </c>
      <c r="H78" s="97">
        <v>2.21296387436297E-2</v>
      </c>
      <c r="I78" s="98">
        <v>553960</v>
      </c>
    </row>
    <row r="79" spans="1:11" s="96" customFormat="1" x14ac:dyDescent="0.2">
      <c r="B79" s="96" t="s">
        <v>135</v>
      </c>
      <c r="C79" s="97">
        <v>1.8935475217069422E-2</v>
      </c>
      <c r="D79" s="98">
        <v>553960</v>
      </c>
      <c r="G79" s="96" t="s">
        <v>136</v>
      </c>
      <c r="H79" s="97">
        <v>1.3112109127127163E-2</v>
      </c>
      <c r="I79" s="98">
        <v>3050596</v>
      </c>
    </row>
    <row r="80" spans="1:11" s="96" customFormat="1" x14ac:dyDescent="0.2">
      <c r="B80" s="96" t="s">
        <v>137</v>
      </c>
      <c r="C80" s="97">
        <v>1.2786313984456137E-2</v>
      </c>
      <c r="D80" s="98">
        <v>1692097</v>
      </c>
      <c r="G80" s="96" t="s">
        <v>138</v>
      </c>
      <c r="H80" s="97">
        <v>1.0641962547819343E-2</v>
      </c>
      <c r="I80" s="98">
        <v>1692097</v>
      </c>
    </row>
    <row r="81" spans="1:19" s="96" customFormat="1" x14ac:dyDescent="0.2">
      <c r="B81" s="96" t="s">
        <v>139</v>
      </c>
      <c r="C81" s="97">
        <v>4.9120312140626078E-3</v>
      </c>
      <c r="D81" s="98">
        <v>3689192</v>
      </c>
      <c r="G81" s="96" t="s">
        <v>140</v>
      </c>
      <c r="H81" s="97">
        <v>7.8608478907203731E-3</v>
      </c>
      <c r="I81" s="98">
        <v>3689192</v>
      </c>
    </row>
    <row r="82" spans="1:19" s="96" customFormat="1" x14ac:dyDescent="0.2">
      <c r="B82" s="96" t="s">
        <v>141</v>
      </c>
      <c r="C82" s="97">
        <v>2.1252869797409479E-2</v>
      </c>
      <c r="D82" s="98">
        <v>5920853</v>
      </c>
      <c r="G82" s="96" t="s">
        <v>142</v>
      </c>
      <c r="H82" s="97">
        <v>2.2843154783360298E-2</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102</v>
      </c>
      <c r="D92" s="102">
        <v>0.90329188292452767</v>
      </c>
      <c r="E92" s="102">
        <v>0.85618417137340519</v>
      </c>
      <c r="F92" s="102">
        <v>0.89523202079674202</v>
      </c>
      <c r="G92" s="102">
        <v>0.90538709198932132</v>
      </c>
      <c r="H92" s="102">
        <v>0.90821284781460132</v>
      </c>
      <c r="I92" s="102">
        <v>0.89171775330334557</v>
      </c>
      <c r="J92" s="102">
        <v>0.85324076417206496</v>
      </c>
      <c r="K92" s="102">
        <v>0.91657921392830921</v>
      </c>
      <c r="L92" s="102">
        <v>0.92341228690734312</v>
      </c>
      <c r="M92" s="102">
        <v>0.92248407685846812</v>
      </c>
      <c r="O92" s="96">
        <v>12153634</v>
      </c>
    </row>
    <row r="93" spans="1:19" s="96" customFormat="1" hidden="1" x14ac:dyDescent="0.2">
      <c r="B93" s="96">
        <v>2</v>
      </c>
      <c r="C93" s="96" t="s">
        <v>143</v>
      </c>
      <c r="D93" s="102">
        <v>2.2121364132377305E-2</v>
      </c>
      <c r="E93" s="102">
        <v>2.8196673500769938E-2</v>
      </c>
      <c r="F93" s="102">
        <v>2.71442427934948E-2</v>
      </c>
      <c r="G93" s="102">
        <v>1.7377771930080096E-2</v>
      </c>
      <c r="H93" s="102">
        <v>2.8000833065877355E-2</v>
      </c>
      <c r="I93" s="102">
        <v>3.5087955132399061E-2</v>
      </c>
      <c r="J93" s="102">
        <v>3.393530712684479E-2</v>
      </c>
      <c r="K93" s="102">
        <v>2.0837221722469889E-2</v>
      </c>
      <c r="L93" s="102">
        <v>2.21296387436297E-2</v>
      </c>
      <c r="M93" s="102">
        <v>2.5613734257540106E-2</v>
      </c>
      <c r="O93" s="96">
        <v>553960</v>
      </c>
    </row>
    <row r="94" spans="1:19" s="96" customFormat="1" hidden="1" x14ac:dyDescent="0.2">
      <c r="B94" s="96">
        <v>3</v>
      </c>
      <c r="C94" s="96" t="s">
        <v>127</v>
      </c>
      <c r="D94" s="102"/>
      <c r="E94" s="102"/>
      <c r="F94" s="102"/>
      <c r="G94" s="102"/>
      <c r="H94" s="102"/>
      <c r="I94" s="102"/>
      <c r="J94" s="102"/>
      <c r="K94" s="102"/>
      <c r="L94" s="102">
        <v>1.3112109127127163E-2</v>
      </c>
      <c r="M94" s="102">
        <v>1.0014697986738022E-2</v>
      </c>
      <c r="O94" s="96">
        <v>3050596</v>
      </c>
    </row>
    <row r="95" spans="1:19" s="96" customFormat="1" hidden="1" x14ac:dyDescent="0.2">
      <c r="B95" s="96">
        <v>4</v>
      </c>
      <c r="C95" s="96" t="s">
        <v>20</v>
      </c>
      <c r="D95" s="102">
        <v>5.5015256004481549E-3</v>
      </c>
      <c r="E95" s="102">
        <v>1.5225513977781598E-2</v>
      </c>
      <c r="F95" s="102">
        <v>1.2621824392172899E-2</v>
      </c>
      <c r="G95" s="102">
        <v>2.4752147455914617E-2</v>
      </c>
      <c r="H95" s="102">
        <v>2.9597221565859561E-2</v>
      </c>
      <c r="I95" s="102">
        <v>2.3901124404744904E-2</v>
      </c>
      <c r="J95" s="102">
        <v>3.2961328987526184E-2</v>
      </c>
      <c r="K95" s="102">
        <v>1.945415772381268E-2</v>
      </c>
      <c r="L95" s="102">
        <v>1.0641962547819343E-2</v>
      </c>
      <c r="M95" s="102">
        <v>7.8235822334641568E-3</v>
      </c>
      <c r="O95" s="96">
        <v>1692097</v>
      </c>
    </row>
    <row r="96" spans="1:19" s="96" customFormat="1" hidden="1" x14ac:dyDescent="0.2">
      <c r="B96" s="96">
        <v>5</v>
      </c>
      <c r="C96" s="96" t="s">
        <v>98</v>
      </c>
      <c r="D96" s="102">
        <v>1.9648756717777726E-2</v>
      </c>
      <c r="E96" s="102">
        <v>2.5935553367110113E-2</v>
      </c>
      <c r="F96" s="102">
        <v>1.7462817663215741E-2</v>
      </c>
      <c r="G96" s="102"/>
      <c r="H96" s="102"/>
      <c r="I96" s="102"/>
      <c r="J96" s="102"/>
      <c r="K96" s="102">
        <v>6.9360240115864764E-3</v>
      </c>
      <c r="L96" s="102">
        <v>7.8608478907203731E-3</v>
      </c>
      <c r="M96" s="102"/>
      <c r="O96" s="96">
        <v>3689192</v>
      </c>
    </row>
    <row r="97" spans="1:15" s="96" customFormat="1" hidden="1" x14ac:dyDescent="0.2">
      <c r="B97" s="96">
        <v>6</v>
      </c>
      <c r="C97" s="96" t="s">
        <v>144</v>
      </c>
      <c r="D97" s="102"/>
      <c r="E97" s="102"/>
      <c r="F97" s="102"/>
      <c r="G97" s="102"/>
      <c r="H97" s="102"/>
      <c r="I97" s="102"/>
      <c r="J97" s="102"/>
      <c r="K97" s="102"/>
      <c r="L97" s="102"/>
      <c r="M97" s="102">
        <v>7.9019698916534889E-3</v>
      </c>
      <c r="O97" s="96">
        <v>11115023</v>
      </c>
    </row>
    <row r="98" spans="1:15" s="96" customFormat="1" hidden="1" x14ac:dyDescent="0.2">
      <c r="B98" s="96">
        <v>7</v>
      </c>
      <c r="C98" s="96" t="s">
        <v>103</v>
      </c>
      <c r="D98" s="102"/>
      <c r="E98" s="102"/>
      <c r="F98" s="102"/>
      <c r="G98" s="102"/>
      <c r="H98" s="102"/>
      <c r="I98" s="102">
        <v>1.4121946165090427E-2</v>
      </c>
      <c r="J98" s="102">
        <v>1.8621805524161972E-2</v>
      </c>
      <c r="K98" s="102">
        <v>8.2859654031980506E-3</v>
      </c>
      <c r="L98" s="102"/>
      <c r="M98" s="102"/>
      <c r="O98" s="96">
        <v>2480382</v>
      </c>
    </row>
    <row r="99" spans="1:15" s="96" customFormat="1" hidden="1" x14ac:dyDescent="0.2">
      <c r="B99" s="96">
        <v>8</v>
      </c>
      <c r="C99" s="96" t="s">
        <v>145</v>
      </c>
      <c r="D99" s="102"/>
      <c r="E99" s="102"/>
      <c r="F99" s="102"/>
      <c r="G99" s="102"/>
      <c r="H99" s="102"/>
      <c r="I99" s="102"/>
      <c r="J99" s="102">
        <v>9.5386663454149808E-3</v>
      </c>
      <c r="K99" s="102"/>
      <c r="L99" s="102"/>
      <c r="M99" s="102"/>
      <c r="O99" s="96">
        <v>7434864</v>
      </c>
    </row>
    <row r="100" spans="1:15" s="96" customFormat="1" hidden="1" x14ac:dyDescent="0.2">
      <c r="B100" s="96">
        <v>9</v>
      </c>
      <c r="C100" s="96" t="s">
        <v>146</v>
      </c>
      <c r="D100" s="102"/>
      <c r="E100" s="102"/>
      <c r="F100" s="102"/>
      <c r="G100" s="102"/>
      <c r="H100" s="102"/>
      <c r="I100" s="102">
        <v>6.2232000072146984E-3</v>
      </c>
      <c r="J100" s="102"/>
      <c r="K100" s="102"/>
      <c r="L100" s="102"/>
      <c r="M100" s="102"/>
      <c r="O100" s="96">
        <v>8497745</v>
      </c>
    </row>
    <row r="101" spans="1:15" s="96" customFormat="1" hidden="1" x14ac:dyDescent="0.2">
      <c r="B101" s="96">
        <v>10</v>
      </c>
      <c r="C101" s="96" t="s">
        <v>106</v>
      </c>
      <c r="D101" s="102"/>
      <c r="E101" s="102"/>
      <c r="F101" s="102">
        <v>7.5468996857039417E-3</v>
      </c>
      <c r="G101" s="102">
        <v>6.775669790932505E-3</v>
      </c>
      <c r="H101" s="102">
        <v>3.9677060858814752E-3</v>
      </c>
      <c r="I101" s="102"/>
      <c r="J101" s="102"/>
      <c r="K101" s="102"/>
      <c r="L101" s="102"/>
      <c r="M101" s="102"/>
      <c r="O101" s="96">
        <v>14393110</v>
      </c>
    </row>
    <row r="102" spans="1:15" s="96" customFormat="1" hidden="1" x14ac:dyDescent="0.2">
      <c r="B102" s="96">
        <v>11</v>
      </c>
      <c r="C102" s="96" t="s">
        <v>147</v>
      </c>
      <c r="D102" s="102"/>
      <c r="E102" s="102"/>
      <c r="F102" s="102"/>
      <c r="G102" s="102"/>
      <c r="H102" s="102">
        <v>3.9395607001544222E-3</v>
      </c>
      <c r="I102" s="102"/>
      <c r="J102" s="102"/>
      <c r="K102" s="102"/>
      <c r="L102" s="102"/>
      <c r="M102" s="102"/>
      <c r="O102" s="96">
        <v>2887140</v>
      </c>
    </row>
    <row r="103" spans="1:15" s="96" customFormat="1" hidden="1" x14ac:dyDescent="0.2">
      <c r="B103" s="96">
        <v>12</v>
      </c>
      <c r="C103" s="96" t="s">
        <v>99</v>
      </c>
      <c r="D103" s="102"/>
      <c r="E103" s="102"/>
      <c r="F103" s="102"/>
      <c r="G103" s="102">
        <v>1.3695671589830297E-2</v>
      </c>
      <c r="H103" s="102"/>
      <c r="I103" s="102"/>
      <c r="J103" s="102"/>
      <c r="K103" s="102"/>
      <c r="L103" s="102"/>
      <c r="M103" s="102"/>
      <c r="O103" s="96">
        <v>15057844</v>
      </c>
    </row>
    <row r="104" spans="1:15" s="96" customFormat="1" hidden="1" x14ac:dyDescent="0.2">
      <c r="B104" s="96">
        <v>13</v>
      </c>
      <c r="C104" s="96" t="s">
        <v>105</v>
      </c>
      <c r="D104" s="102">
        <v>1.1484122854679151E-2</v>
      </c>
      <c r="E104" s="102">
        <v>1.2099713190350038E-2</v>
      </c>
      <c r="F104" s="102"/>
      <c r="G104" s="102"/>
      <c r="H104" s="102"/>
      <c r="I104" s="102"/>
      <c r="J104" s="102"/>
      <c r="K104" s="102"/>
      <c r="L104" s="102"/>
      <c r="M104" s="102"/>
      <c r="O104" s="96">
        <v>10603512</v>
      </c>
    </row>
    <row r="105" spans="1:15" s="96" customFormat="1" hidden="1" x14ac:dyDescent="0.2">
      <c r="B105" s="96">
        <v>14</v>
      </c>
      <c r="C105" s="96" t="s">
        <v>107</v>
      </c>
      <c r="D105" s="102">
        <v>3.7952347770190027E-2</v>
      </c>
      <c r="E105" s="102">
        <v>6.2358374590583139E-2</v>
      </c>
      <c r="F105" s="102">
        <v>3.9992194668670641E-2</v>
      </c>
      <c r="G105" s="102">
        <v>3.2011647243921131E-2</v>
      </c>
      <c r="H105" s="102">
        <v>2.6281830767625858E-2</v>
      </c>
      <c r="I105" s="102">
        <v>2.8948020987205329E-2</v>
      </c>
      <c r="J105" s="102">
        <v>5.1702127843987131E-2</v>
      </c>
      <c r="K105" s="102">
        <v>2.790741721062364E-2</v>
      </c>
      <c r="L105" s="102">
        <v>2.2843154783360256E-2</v>
      </c>
      <c r="M105" s="102">
        <v>2.6161938772136059E-2</v>
      </c>
      <c r="O105" s="96">
        <v>5920853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15</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7</v>
      </c>
      <c r="D120" s="56">
        <v>15</v>
      </c>
      <c r="E120" s="56">
        <v>7</v>
      </c>
      <c r="F120" s="57">
        <v>25</v>
      </c>
    </row>
    <row r="121" spans="1:15" ht="18" customHeight="1" x14ac:dyDescent="0.2">
      <c r="A121" s="194" t="s">
        <v>27</v>
      </c>
      <c r="B121" s="35" t="s">
        <v>62</v>
      </c>
      <c r="C121" s="58">
        <v>19.081428527832031</v>
      </c>
      <c r="D121" s="58">
        <v>20.370000076293945</v>
      </c>
      <c r="E121" s="58">
        <v>19.649999618530273</v>
      </c>
      <c r="F121" s="59">
        <v>20.193199157714844</v>
      </c>
    </row>
    <row r="122" spans="1:15" ht="18" customHeight="1" x14ac:dyDescent="0.2">
      <c r="A122" s="195"/>
      <c r="B122" s="37" t="s">
        <v>55</v>
      </c>
      <c r="C122" s="60">
        <v>353.28570556640625</v>
      </c>
      <c r="D122" s="60">
        <v>408.06666870117186</v>
      </c>
      <c r="E122" s="60">
        <v>355.85714721679688</v>
      </c>
      <c r="F122" s="61">
        <v>391.39999389648438</v>
      </c>
    </row>
    <row r="123" spans="1:15" ht="18" customHeight="1" x14ac:dyDescent="0.2">
      <c r="A123" s="195"/>
      <c r="B123" s="37" t="s">
        <v>56</v>
      </c>
      <c r="C123" s="60">
        <v>108.28571319580078</v>
      </c>
      <c r="D123" s="60">
        <v>122.53333028157552</v>
      </c>
      <c r="E123" s="60">
        <v>107.42857360839844</v>
      </c>
      <c r="F123" s="61">
        <v>122.91999816894531</v>
      </c>
    </row>
    <row r="124" spans="1:15" ht="18" customHeight="1" x14ac:dyDescent="0.2">
      <c r="A124" s="195"/>
      <c r="B124" s="37" t="s">
        <v>57</v>
      </c>
      <c r="C124" s="60">
        <v>275.59304809570313</v>
      </c>
      <c r="D124" s="60">
        <v>314.25992431640623</v>
      </c>
      <c r="E124" s="60">
        <v>286.25238037109375</v>
      </c>
      <c r="F124" s="61">
        <v>307.8211669921875</v>
      </c>
    </row>
    <row r="125" spans="1:15" ht="18" customHeight="1" x14ac:dyDescent="0.2">
      <c r="A125" s="195"/>
      <c r="B125" s="37" t="s">
        <v>58</v>
      </c>
      <c r="C125" s="33">
        <v>204.676025390625</v>
      </c>
      <c r="D125" s="33">
        <v>156.81418558756511</v>
      </c>
      <c r="E125" s="33">
        <v>109.85268402099609</v>
      </c>
      <c r="F125" s="62">
        <v>145.12611389160156</v>
      </c>
    </row>
    <row r="126" spans="1:15" ht="18" customHeight="1" x14ac:dyDescent="0.2">
      <c r="A126" s="195"/>
      <c r="B126" s="37" t="s">
        <v>63</v>
      </c>
      <c r="C126" s="33">
        <f ca="1">515.17890625*OFFSET($L$112,MATCH($N$1,$C$112:$C$113,0)-1,0)</f>
        <v>515.17890624999995</v>
      </c>
      <c r="D126" s="33">
        <f ca="1">380.290910416667*OFFSET($L$112,MATCH($N$1,$C$112:$C$113,0)-1,0)</f>
        <v>380.29091041666697</v>
      </c>
      <c r="E126" s="33">
        <f ca="1">270.33990625*OFFSET($L$112,MATCH($N$1,$C$112:$C$113,0)-1,0)</f>
        <v>270.33990625000001</v>
      </c>
      <c r="F126" s="62">
        <f ca="1">252.6625625*OFFSET($L$112,MATCH($N$1,$C$112:$C$113,0)-1,0)</f>
        <v>252.66256250000001</v>
      </c>
    </row>
    <row r="127" spans="1:15" ht="18" customHeight="1" x14ac:dyDescent="0.2">
      <c r="A127" s="195"/>
      <c r="B127" s="37" t="s">
        <v>60</v>
      </c>
      <c r="C127" s="60">
        <v>174.42857360839844</v>
      </c>
      <c r="D127" s="60">
        <v>151.73333028157552</v>
      </c>
      <c r="E127" s="60">
        <v>141.14285278320313</v>
      </c>
      <c r="F127" s="61">
        <v>125.36000061035156</v>
      </c>
    </row>
    <row r="128" spans="1:15" ht="18" customHeight="1" x14ac:dyDescent="0.2">
      <c r="A128" s="195"/>
      <c r="B128" s="37" t="s">
        <v>64</v>
      </c>
      <c r="C128" s="60">
        <v>36.142856597900391</v>
      </c>
      <c r="D128" s="60">
        <v>37.733332570393877</v>
      </c>
      <c r="E128" s="60">
        <v>41.428569793701172</v>
      </c>
      <c r="F128" s="61">
        <v>37.479999542236328</v>
      </c>
    </row>
    <row r="129" spans="1:15" ht="18" customHeight="1" x14ac:dyDescent="0.2">
      <c r="A129" s="195"/>
      <c r="B129" s="37" t="s">
        <v>65</v>
      </c>
      <c r="C129" s="63">
        <v>1.1734088659286499</v>
      </c>
      <c r="D129" s="63">
        <v>1.0334854266795628</v>
      </c>
      <c r="E129" s="63">
        <v>0.77830851078033447</v>
      </c>
      <c r="F129" s="64">
        <v>1.1576747894287109</v>
      </c>
    </row>
    <row r="130" spans="1:15" ht="18" customHeight="1" x14ac:dyDescent="0.2">
      <c r="A130" s="196"/>
      <c r="B130" s="39" t="s">
        <v>28</v>
      </c>
      <c r="C130" s="40">
        <f ca="1">2517.04568362015*OFFSET($L$112,MATCH($N$1,$C$112:$C$113,0)-1,0)</f>
        <v>2517.0456836201502</v>
      </c>
      <c r="D130" s="40">
        <f ca="1">2425.1052861816*OFFSET($L$112,MATCH($N$1,$C$112:$C$113,0)-1,0)</f>
        <v>2425.1052861816001</v>
      </c>
      <c r="E130" s="40">
        <f ca="1">2460.9312795519*OFFSET($L$112,MATCH($N$1,$C$112:$C$113,0)-1,0)</f>
        <v>2460.9312795518999</v>
      </c>
      <c r="F130" s="65">
        <f ca="1">1741*OFFSET($L$112,MATCH($N$1,$C$112:$C$113,0)-1,0)</f>
        <v>1741</v>
      </c>
    </row>
    <row r="131" spans="1:15" ht="18" customHeight="1" x14ac:dyDescent="0.2">
      <c r="A131" s="205" t="s">
        <v>29</v>
      </c>
      <c r="B131" s="35" t="s">
        <v>66</v>
      </c>
      <c r="C131" s="66">
        <v>3.2287794597197346</v>
      </c>
      <c r="D131" s="66">
        <v>2.4833013538847188</v>
      </c>
      <c r="E131" s="66">
        <v>2.1913749377102461</v>
      </c>
      <c r="F131" s="67">
        <v>2.9281541496958452</v>
      </c>
    </row>
    <row r="132" spans="1:15" ht="18" customHeight="1" x14ac:dyDescent="0.2">
      <c r="A132" s="206"/>
      <c r="B132" s="37" t="s">
        <v>67</v>
      </c>
      <c r="C132" s="63">
        <f ca="1">8.12698540244894*OFFSET($L$112,MATCH($N$1,$C$112:$C$113,0)-1,0)</f>
        <v>8.1269854024489394</v>
      </c>
      <c r="D132" s="63">
        <f ca="1">6.02226724048776*OFFSET($L$112,MATCH($N$1,$C$112:$C$113,0)-1,0)</f>
        <v>6.0222672404877597</v>
      </c>
      <c r="E132" s="63">
        <f ca="1">5.39282312943723*OFFSET($L$112,MATCH($N$1,$C$112:$C$113,0)-1,0)</f>
        <v>5.3928231294372297</v>
      </c>
      <c r="F132" s="64">
        <f ca="1">5.09787598536376*OFFSET($L$112,MATCH($N$1,$C$112:$C$113,0)-1,0)</f>
        <v>5.0978759853637596</v>
      </c>
    </row>
    <row r="133" spans="1:15" ht="18" customHeight="1" x14ac:dyDescent="0.2">
      <c r="A133" s="206"/>
      <c r="B133" s="37" t="s">
        <v>11</v>
      </c>
      <c r="C133" s="63">
        <f ca="1">5.36868338458897*OFFSET($L$112,MATCH($N$1,$C$112:$C$113,0)-1,0)</f>
        <v>5.3686833845889703</v>
      </c>
      <c r="D133" s="63">
        <f ca="1">4.22235317855074*OFFSET($L$112,MATCH($N$1,$C$112:$C$113,0)-1,0)</f>
        <v>4.2223531785507404</v>
      </c>
      <c r="E133" s="63">
        <f ca="1">4.04544114977048*OFFSET($L$112,MATCH($N$1,$C$112:$C$113,0)-1,0)</f>
        <v>4.0454411497704799</v>
      </c>
      <c r="F133" s="64">
        <f ca="1">4.02282629650139*OFFSET($L$112,MATCH($N$1,$C$112:$C$113,0)-1,0)</f>
        <v>4.0228262965013899</v>
      </c>
    </row>
    <row r="134" spans="1:15" ht="18" customHeight="1" x14ac:dyDescent="0.2">
      <c r="A134" s="207"/>
      <c r="B134" s="39" t="s">
        <v>12</v>
      </c>
      <c r="C134" s="68">
        <f ca="1">2.75830201785997*OFFSET($L$112,MATCH($N$1,$C$112:$C$113,0)-1,0)</f>
        <v>2.75830201785997</v>
      </c>
      <c r="D134" s="68">
        <f ca="1">1.79991406193702*OFFSET($L$112,MATCH($N$1,$C$112:$C$113,0)-1,0)</f>
        <v>1.79991406193702</v>
      </c>
      <c r="E134" s="68">
        <f ca="1">1.34738197966675*OFFSET($L$112,MATCH($N$1,$C$112:$C$113,0)-1,0)</f>
        <v>1.3473819796667501</v>
      </c>
      <c r="F134" s="69">
        <f ca="1">1.07504968886237*OFFSET($L$112,MATCH($N$1,$C$112:$C$113,0)-1,0)</f>
        <v>1.07504968886237</v>
      </c>
    </row>
    <row r="135" spans="1:15" ht="18" customHeight="1" x14ac:dyDescent="0.2">
      <c r="A135" s="208" t="s">
        <v>49</v>
      </c>
      <c r="B135" s="37" t="s">
        <v>109</v>
      </c>
      <c r="C135" s="70">
        <f ca="1">68.4652265625*OFFSET($L$112,MATCH($N$1,$C$112:$C$113,0)-1,0)</f>
        <v>68.465226562500007</v>
      </c>
      <c r="D135" s="70">
        <f ca="1">65.9500526041667*OFFSET($L$112,MATCH($N$1,$C$112:$C$113,0)-1,0)</f>
        <v>65.9500526041667</v>
      </c>
      <c r="E135" s="70">
        <f ca="1">60.13688671875*OFFSET($L$112,MATCH($N$1,$C$112:$C$113,0)-1,0)</f>
        <v>60.136886718749999</v>
      </c>
      <c r="F135" s="71">
        <f ca="1">38.54688671875*OFFSET($L$112,MATCH($N$1,$C$112:$C$113,0)-1,0)</f>
        <v>38.546886718750002</v>
      </c>
    </row>
    <row r="136" spans="1:15" ht="18" customHeight="1" x14ac:dyDescent="0.2">
      <c r="A136" s="209"/>
      <c r="B136" s="37" t="s">
        <v>110</v>
      </c>
      <c r="C136" s="31">
        <v>131378.57108240202</v>
      </c>
      <c r="D136" s="31">
        <v>126366.66510858219</v>
      </c>
      <c r="E136" s="31">
        <v>115828.56683939137</v>
      </c>
      <c r="F136" s="72">
        <v>103876</v>
      </c>
    </row>
    <row r="137" spans="1:15" ht="18" customHeight="1" x14ac:dyDescent="0.2">
      <c r="A137" s="209"/>
      <c r="B137" s="37" t="s">
        <v>111</v>
      </c>
      <c r="C137" s="31">
        <v>753.194091796875</v>
      </c>
      <c r="D137" s="31">
        <v>832.82074461873515</v>
      </c>
      <c r="E137" s="31">
        <v>820.64776611328125</v>
      </c>
      <c r="F137" s="72">
        <v>828.62158203125</v>
      </c>
    </row>
    <row r="138" spans="1:15" ht="18" customHeight="1" x14ac:dyDescent="0.2">
      <c r="A138" s="209"/>
      <c r="B138" s="37" t="s">
        <v>112</v>
      </c>
      <c r="C138" s="31">
        <f ca="1">392.511531489148*OFFSET($L$112,MATCH($N$1,$C$112:$C$113,0)-1,0)</f>
        <v>392.51153148914801</v>
      </c>
      <c r="D138" s="31">
        <f ca="1">434.644467908148*OFFSET($L$112,MATCH($N$1,$C$112:$C$113,0)-1,0)</f>
        <v>434.64446790814799</v>
      </c>
      <c r="E138" s="31">
        <f ca="1">426.071072908813*OFFSET($L$112,MATCH($N$1,$C$112:$C$113,0)-1,0)</f>
        <v>426.07107290881299</v>
      </c>
      <c r="F138" s="72">
        <f ca="1">307.489522424005*OFFSET($L$112,MATCH($N$1,$C$112:$C$113,0)-1,0)</f>
        <v>307.48952242400497</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334.505355142762*OFFSET($L$112,MATCH($N$1,$C$112:$C$113,0)-1,0)</f>
        <v>334.50535514276203</v>
      </c>
      <c r="D139" s="31">
        <f ca="1">420.561777348518*OFFSET($L$112,MATCH($N$1,$C$112:$C$113,0)-1,0)</f>
        <v>420.56177734851798</v>
      </c>
      <c r="E139" s="31">
        <f ca="1">547.432111055712*OFFSET($L$112,MATCH($N$1,$C$112:$C$113,0)-1,0)</f>
        <v>547.43211105571197</v>
      </c>
      <c r="F139" s="72">
        <f ca="1">265.609583865394*OFFSET($L$112,MATCH($N$1,$C$112:$C$113,0)-1,0)</f>
        <v>265.60958386539397</v>
      </c>
      <c r="I139" s="48"/>
      <c r="K139" s="73" t="s">
        <v>114</v>
      </c>
      <c r="L139" s="74">
        <f t="shared" ref="L139:M141" ca="1" si="2">C140</f>
        <v>593.46493750000002</v>
      </c>
      <c r="M139" s="74">
        <f t="shared" ca="1" si="2"/>
        <v>438.07953125</v>
      </c>
      <c r="N139" s="74">
        <f ca="1">E140</f>
        <v>311.42043749999999</v>
      </c>
      <c r="O139" s="74"/>
    </row>
    <row r="140" spans="1:15" ht="18" customHeight="1" x14ac:dyDescent="0.2">
      <c r="A140" s="187" t="s">
        <v>50</v>
      </c>
      <c r="B140" s="35" t="s">
        <v>115</v>
      </c>
      <c r="C140" s="75">
        <f ca="1">593.4649375*OFFSET($L$112,MATCH($N$1,$C$112:$C$113,0)-1,0)</f>
        <v>593.46493750000002</v>
      </c>
      <c r="D140" s="75">
        <f ca="1">438.07953125*OFFSET($L$112,MATCH($N$1,$C$112:$C$113,0)-1,0)</f>
        <v>438.07953125</v>
      </c>
      <c r="E140" s="75">
        <f ca="1">311.4204375*OFFSET($L$112,MATCH($N$1,$C$112:$C$113,0)-1,0)</f>
        <v>311.42043749999999</v>
      </c>
      <c r="F140" s="76">
        <f ca="1">293.5861875*OFFSET($L$112,MATCH($N$1,$C$112:$C$113,0)-1,0)</f>
        <v>293.58618749999999</v>
      </c>
      <c r="I140" s="48"/>
      <c r="K140" s="73" t="s">
        <v>116</v>
      </c>
      <c r="L140" s="74">
        <f t="shared" ca="1" si="2"/>
        <v>418.613</v>
      </c>
      <c r="M140" s="74">
        <f t="shared" ca="1" si="2"/>
        <v>324.41952083333302</v>
      </c>
      <c r="N140" s="74">
        <f ca="1">E141</f>
        <v>243.87678124999999</v>
      </c>
      <c r="O140" s="74"/>
    </row>
    <row r="141" spans="1:15" ht="18" customHeight="1" x14ac:dyDescent="0.2">
      <c r="A141" s="188"/>
      <c r="B141" s="37" t="s">
        <v>117</v>
      </c>
      <c r="C141" s="31">
        <f ca="1">418.613*OFFSET($L$112,MATCH($N$1,$C$112:$C$113,0)-1,0)</f>
        <v>418.613</v>
      </c>
      <c r="D141" s="31">
        <f ca="1">324.419520833333*OFFSET($L$112,MATCH($N$1,$C$112:$C$113,0)-1,0)</f>
        <v>324.41952083333302</v>
      </c>
      <c r="E141" s="31">
        <f ca="1">243.87678125*OFFSET($L$112,MATCH($N$1,$C$112:$C$113,0)-1,0)</f>
        <v>243.87678124999999</v>
      </c>
      <c r="F141" s="72">
        <f ca="1">240.304234375*OFFSET($L$112,MATCH($N$1,$C$112:$C$113,0)-1,0)</f>
        <v>240.30423437499999</v>
      </c>
      <c r="I141" s="48"/>
      <c r="K141" s="73" t="s">
        <v>118</v>
      </c>
      <c r="L141" s="74">
        <f t="shared" ca="1" si="2"/>
        <v>174.85193749999999</v>
      </c>
      <c r="M141" s="74">
        <f t="shared" ca="1" si="2"/>
        <v>113.66001041666701</v>
      </c>
      <c r="N141" s="74">
        <f ca="1">E142</f>
        <v>67.543656249999998</v>
      </c>
      <c r="O141" s="74"/>
    </row>
    <row r="142" spans="1:15" ht="18" customHeight="1" x14ac:dyDescent="0.2">
      <c r="A142" s="189"/>
      <c r="B142" s="39" t="s">
        <v>119</v>
      </c>
      <c r="C142" s="40">
        <f ca="1">174.8519375*OFFSET($L$112,MATCH($N$1,$C$112:$C$113,0)-1,0)</f>
        <v>174.85193749999999</v>
      </c>
      <c r="D142" s="40">
        <f ca="1">113.660010416667*OFFSET($L$112,MATCH($N$1,$C$112:$C$113,0)-1,0)</f>
        <v>113.66001041666701</v>
      </c>
      <c r="E142" s="40">
        <f ca="1">67.54365625*OFFSET($L$112,MATCH($N$1,$C$112:$C$113,0)-1,0)</f>
        <v>67.543656249999998</v>
      </c>
      <c r="F142" s="65">
        <f ca="1">53.28195703125*OFFSET($L$112,MATCH($N$1,$C$112:$C$113,0)-1,0)</f>
        <v>53.281957031250002</v>
      </c>
      <c r="I142" s="48"/>
      <c r="K142" s="73" t="s">
        <v>120</v>
      </c>
      <c r="L142" s="77">
        <f ca="1">IFERROR(L140/L$139,"")</f>
        <v>0.70537107341745864</v>
      </c>
      <c r="M142" s="77">
        <f t="shared" ref="M142:N143" ca="1" si="3">IFERROR(M140/M$139,"")</f>
        <v>0.74054936990013276</v>
      </c>
      <c r="N142" s="77">
        <f t="shared" ca="1" si="3"/>
        <v>0.78311103538283355</v>
      </c>
      <c r="O142" s="77"/>
    </row>
    <row r="143" spans="1:15" ht="18" customHeight="1" x14ac:dyDescent="0.2">
      <c r="I143" s="48"/>
      <c r="K143" s="73" t="s">
        <v>121</v>
      </c>
      <c r="L143" s="77">
        <f ca="1">IFERROR(L141/L$139,"")</f>
        <v>0.29462892658254136</v>
      </c>
      <c r="M143" s="77">
        <f t="shared" ca="1" si="3"/>
        <v>0.2594506300998673</v>
      </c>
      <c r="N143" s="77">
        <f t="shared" ca="1" si="3"/>
        <v>0.21688896461716647</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8</v>
      </c>
      <c r="B161" s="53"/>
      <c r="C161" s="78" t="s">
        <v>45</v>
      </c>
      <c r="D161" s="78" t="s">
        <v>122</v>
      </c>
      <c r="E161" s="78" t="s">
        <v>47</v>
      </c>
      <c r="F161" s="78" t="s">
        <v>123</v>
      </c>
      <c r="G161" s="79">
        <v>10</v>
      </c>
      <c r="H161" s="78"/>
      <c r="I161" s="78" t="s">
        <v>45</v>
      </c>
      <c r="J161" s="78" t="s">
        <v>122</v>
      </c>
      <c r="K161" s="78" t="s">
        <v>47</v>
      </c>
      <c r="L161" s="53" t="s">
        <v>123</v>
      </c>
      <c r="R161" s="21"/>
      <c r="S161" s="21"/>
    </row>
    <row r="162" spans="1:19" s="48" customFormat="1" x14ac:dyDescent="0.2">
      <c r="A162" s="49">
        <v>1</v>
      </c>
      <c r="B162" s="53" t="s">
        <v>102</v>
      </c>
      <c r="C162" s="53">
        <v>0.3637536932533193</v>
      </c>
      <c r="D162" s="53">
        <v>0.8108583860541968</v>
      </c>
      <c r="E162" s="53">
        <v>0.89809390349942475</v>
      </c>
      <c r="F162" s="49">
        <v>12153634</v>
      </c>
      <c r="G162" s="49">
        <v>1</v>
      </c>
      <c r="H162" s="53" t="s">
        <v>102</v>
      </c>
      <c r="I162" s="53">
        <v>0.29009308742870327</v>
      </c>
      <c r="J162" s="53">
        <v>0.92123576699262555</v>
      </c>
      <c r="K162" s="53">
        <v>0.70882207754321402</v>
      </c>
      <c r="L162" s="49">
        <v>12153634</v>
      </c>
      <c r="R162" s="21"/>
      <c r="S162" s="21"/>
    </row>
    <row r="163" spans="1:19" s="48" customFormat="1" x14ac:dyDescent="0.2">
      <c r="A163" s="49">
        <v>2</v>
      </c>
      <c r="B163" s="53" t="s">
        <v>127</v>
      </c>
      <c r="C163" s="53">
        <v>2.4409935739650071E-2</v>
      </c>
      <c r="D163" s="53">
        <v>0.13519059968533967</v>
      </c>
      <c r="E163" s="53">
        <v>3.912733450090624E-2</v>
      </c>
      <c r="F163" s="49">
        <v>3050596</v>
      </c>
      <c r="G163" s="49">
        <v>2</v>
      </c>
      <c r="H163" s="53" t="s">
        <v>143</v>
      </c>
      <c r="I163" s="53">
        <v>6.4840070101277172E-3</v>
      </c>
      <c r="J163" s="53">
        <v>2.3229724264792265E-2</v>
      </c>
      <c r="K163" s="53">
        <v>1.5396757855171996E-2</v>
      </c>
      <c r="L163" s="49">
        <v>553960</v>
      </c>
      <c r="N163" s="48" t="s">
        <v>124</v>
      </c>
      <c r="R163" s="21"/>
      <c r="S163" s="21"/>
    </row>
    <row r="164" spans="1:19" s="48" customFormat="1" x14ac:dyDescent="0.2">
      <c r="A164" s="49">
        <v>3</v>
      </c>
      <c r="B164" s="53" t="s">
        <v>143</v>
      </c>
      <c r="C164" s="53">
        <v>7.6410654655616429E-3</v>
      </c>
      <c r="D164" s="53">
        <v>1.9564409036498684E-2</v>
      </c>
      <c r="E164" s="53">
        <v>1.7518006200597916E-2</v>
      </c>
      <c r="F164" s="49">
        <v>553960</v>
      </c>
      <c r="G164" s="49">
        <v>3</v>
      </c>
      <c r="H164" s="53" t="s">
        <v>127</v>
      </c>
      <c r="I164" s="53">
        <v>2.4403091221792779E-3</v>
      </c>
      <c r="J164" s="53">
        <v>1.7678907082230359E-2</v>
      </c>
      <c r="K164" s="53">
        <v>0</v>
      </c>
      <c r="L164" s="49">
        <v>3050596</v>
      </c>
      <c r="N164" s="48" t="s">
        <v>125</v>
      </c>
      <c r="R164" s="21"/>
      <c r="S164" s="21"/>
    </row>
    <row r="165" spans="1:19" s="48" customFormat="1" x14ac:dyDescent="0.2">
      <c r="A165" s="49">
        <v>4</v>
      </c>
      <c r="B165" s="53" t="s">
        <v>20</v>
      </c>
      <c r="C165" s="53">
        <v>2.462148966006222E-3</v>
      </c>
      <c r="D165" s="53">
        <v>1.384398494198336E-2</v>
      </c>
      <c r="E165" s="53">
        <v>1.4992026016794476E-2</v>
      </c>
      <c r="F165" s="49">
        <v>1692097</v>
      </c>
      <c r="G165" s="49">
        <v>4</v>
      </c>
      <c r="H165" s="53" t="s">
        <v>20</v>
      </c>
      <c r="I165" s="53">
        <v>0</v>
      </c>
      <c r="J165" s="53">
        <v>1.2260682926118319E-2</v>
      </c>
      <c r="K165" s="53">
        <v>9.2419057995534303E-3</v>
      </c>
      <c r="L165" s="49">
        <v>1692097</v>
      </c>
      <c r="R165" s="21"/>
      <c r="S165" s="21"/>
    </row>
    <row r="166" spans="1:19" s="48" customFormat="1" x14ac:dyDescent="0.2">
      <c r="A166" s="49">
        <v>5</v>
      </c>
      <c r="B166" s="53" t="s">
        <v>106</v>
      </c>
      <c r="C166" s="53">
        <v>0</v>
      </c>
      <c r="D166" s="53">
        <v>5.7776824864486046E-3</v>
      </c>
      <c r="E166" s="53">
        <v>0</v>
      </c>
      <c r="F166" s="49">
        <v>11115023</v>
      </c>
      <c r="G166" s="49">
        <v>5</v>
      </c>
      <c r="H166" s="53" t="s">
        <v>146</v>
      </c>
      <c r="I166" s="53">
        <v>0</v>
      </c>
      <c r="J166" s="53">
        <v>6.7872595548155454E-3</v>
      </c>
      <c r="K166" s="53">
        <v>0</v>
      </c>
      <c r="L166" s="49">
        <v>2480382</v>
      </c>
      <c r="R166" s="21"/>
      <c r="S166" s="21"/>
    </row>
    <row r="167" spans="1:19" s="48" customFormat="1" x14ac:dyDescent="0.2">
      <c r="A167" s="49">
        <v>6</v>
      </c>
      <c r="B167" s="53" t="s">
        <v>98</v>
      </c>
      <c r="C167" s="53">
        <v>1.1020203246137283E-3</v>
      </c>
      <c r="D167" s="53">
        <v>0</v>
      </c>
      <c r="E167" s="53">
        <v>9.6016891460168584E-3</v>
      </c>
      <c r="F167" s="49">
        <v>3689192</v>
      </c>
      <c r="G167" s="49">
        <v>6</v>
      </c>
      <c r="H167" s="53" t="s">
        <v>98</v>
      </c>
      <c r="I167" s="53">
        <v>1.1687538194177028E-3</v>
      </c>
      <c r="J167" s="53">
        <v>0</v>
      </c>
      <c r="K167" s="53">
        <v>1.2208312837720699E-2</v>
      </c>
      <c r="L167" s="49">
        <v>3689192</v>
      </c>
      <c r="R167" s="21"/>
      <c r="S167" s="21"/>
    </row>
    <row r="168" spans="1:19" s="48" customFormat="1" x14ac:dyDescent="0.2">
      <c r="A168" s="49">
        <v>7</v>
      </c>
      <c r="B168" s="53" t="s">
        <v>107</v>
      </c>
      <c r="C168" s="53">
        <v>0.60063113625084907</v>
      </c>
      <c r="D168" s="53">
        <v>1.4764937795532895E-2</v>
      </c>
      <c r="E168" s="53">
        <v>2.0667040636259681E-2</v>
      </c>
      <c r="F168" s="49">
        <v>5920853</v>
      </c>
      <c r="G168" s="49">
        <v>7</v>
      </c>
      <c r="H168" s="53" t="s">
        <v>99</v>
      </c>
      <c r="I168" s="53">
        <v>0</v>
      </c>
      <c r="J168" s="53">
        <v>0</v>
      </c>
      <c r="K168" s="53">
        <v>4.4788314916001928E-3</v>
      </c>
      <c r="L168" s="49">
        <v>7434864</v>
      </c>
      <c r="R168" s="21"/>
      <c r="S168" s="21"/>
    </row>
    <row r="169" spans="1:19" s="48" customFormat="1" x14ac:dyDescent="0.2">
      <c r="A169" s="49">
        <v>8</v>
      </c>
      <c r="B169" s="53"/>
      <c r="C169" s="53">
        <v>0</v>
      </c>
      <c r="D169" s="53">
        <v>0</v>
      </c>
      <c r="E169" s="53">
        <v>0</v>
      </c>
      <c r="F169" s="49"/>
      <c r="G169" s="49">
        <v>8</v>
      </c>
      <c r="H169" s="53" t="s">
        <v>144</v>
      </c>
      <c r="I169" s="53">
        <v>9.363739408294481E-4</v>
      </c>
      <c r="J169" s="53">
        <v>0</v>
      </c>
      <c r="K169" s="53">
        <v>0</v>
      </c>
      <c r="L169" s="49">
        <v>8497745</v>
      </c>
      <c r="R169" s="21"/>
      <c r="S169" s="21"/>
    </row>
    <row r="170" spans="1:19" s="48" customFormat="1" x14ac:dyDescent="0.2">
      <c r="A170" s="49">
        <v>9</v>
      </c>
      <c r="B170" s="53"/>
      <c r="C170" s="53">
        <v>0</v>
      </c>
      <c r="D170" s="53">
        <v>0</v>
      </c>
      <c r="E170" s="53">
        <v>0</v>
      </c>
      <c r="F170" s="49"/>
      <c r="G170" s="49">
        <v>9</v>
      </c>
      <c r="H170" s="53" t="s">
        <v>107</v>
      </c>
      <c r="I170" s="53">
        <v>0.69887746867874256</v>
      </c>
      <c r="J170" s="53">
        <v>1.8807659179417846E-2</v>
      </c>
      <c r="K170" s="53">
        <v>0.24985211447273958</v>
      </c>
      <c r="L170" s="49">
        <v>5920853</v>
      </c>
      <c r="R170" s="21"/>
      <c r="S170" s="21"/>
    </row>
    <row r="171" spans="1:19" s="48" customFormat="1" x14ac:dyDescent="0.2">
      <c r="A171" s="49">
        <v>10</v>
      </c>
      <c r="B171" s="53"/>
      <c r="C171" s="53">
        <v>0</v>
      </c>
      <c r="D171" s="53">
        <v>0</v>
      </c>
      <c r="E171" s="53">
        <v>0</v>
      </c>
      <c r="F171" s="49"/>
      <c r="G171" s="49">
        <v>10</v>
      </c>
      <c r="H171" s="53"/>
      <c r="I171" s="53">
        <v>0</v>
      </c>
      <c r="J171" s="53">
        <v>0</v>
      </c>
      <c r="K171" s="53">
        <v>0</v>
      </c>
      <c r="L171" s="49"/>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8BF0D6D6-F183-47B6-B915-EEDB67CAFCAA}">
      <formula1>$C$112:$C$113</formula1>
    </dataValidation>
  </dataValidations>
  <hyperlinks>
    <hyperlink ref="O1:P1" location="Home_page" display="Back to home page" xr:uid="{F67A5D9C-F682-4F81-AFFE-AB5941ACB716}"/>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D0EB432F-82AA-4C95-B574-6DB7438AF639}">
          <x14:colorSeries rgb="FF323232"/>
          <x14:colorNegative rgb="FFD00000"/>
          <x14:colorAxis rgb="FF000000"/>
          <x14:colorMarkers rgb="FFD00000"/>
          <x14:colorFirst rgb="FFD00000"/>
          <x14:colorLast rgb="FFD00000"/>
          <x14:colorHigh rgb="FFD00000"/>
          <x14:colorLow rgb="FFD00000"/>
          <x14:sparklines>
            <x14:sparkline>
              <xm:f>'Area VIIa nephrops o250kW'!D3:N3</xm:f>
              <xm:sqref>C3</xm:sqref>
            </x14:sparkline>
            <x14:sparkline>
              <xm:f>'Area VIIa nephrops o250kW'!D4:N4</xm:f>
              <xm:sqref>C4</xm:sqref>
            </x14:sparkline>
            <x14:sparkline>
              <xm:f>'Area VIIa nephrops o250kW'!D5:N5</xm:f>
              <xm:sqref>C5</xm:sqref>
            </x14:sparkline>
            <x14:sparkline>
              <xm:f>'Area VIIa nephrops o250kW'!D6:N6</xm:f>
              <xm:sqref>C6</xm:sqref>
            </x14:sparkline>
            <x14:sparkline>
              <xm:f>'Area VIIa nephrops o250kW'!D7:N7</xm:f>
              <xm:sqref>C7</xm:sqref>
            </x14:sparkline>
            <x14:sparkline>
              <xm:f>'Area VIIa nephrops o250kW'!D8:N8</xm:f>
              <xm:sqref>C8</xm:sqref>
            </x14:sparkline>
            <x14:sparkline>
              <xm:f>'Area VIIa nephrops o250kW'!D9:N9</xm:f>
              <xm:sqref>C9</xm:sqref>
            </x14:sparkline>
            <x14:sparkline>
              <xm:f>'Area VIIa nephrops o250kW'!D10:N10</xm:f>
              <xm:sqref>C10</xm:sqref>
            </x14:sparkline>
            <x14:sparkline>
              <xm:f>'Area VIIa nephrops o250kW'!D11:N11</xm:f>
              <xm:sqref>C11</xm:sqref>
            </x14:sparkline>
            <x14:sparkline>
              <xm:f>'Area VIIa nephrops o250kW'!D12:N12</xm:f>
              <xm:sqref>C12</xm:sqref>
            </x14:sparkline>
            <x14:sparkline>
              <xm:f>'Area VIIa nephrops o250kW'!D13:N13</xm:f>
              <xm:sqref>C13</xm:sqref>
            </x14:sparkline>
            <x14:sparkline>
              <xm:f>'Area VIIa nephrops o250kW'!D14:N14</xm:f>
              <xm:sqref>C14</xm:sqref>
            </x14:sparkline>
            <x14:sparkline>
              <xm:f>'Area VIIa nephrops o250kW'!D15:N15</xm:f>
              <xm:sqref>C15</xm:sqref>
            </x14:sparkline>
            <x14:sparkline>
              <xm:f>'Area VIIa nephrops o250kW'!D16:N16</xm:f>
              <xm:sqref>C16</xm:sqref>
            </x14:sparkline>
            <x14:sparkline>
              <xm:f>'Area VIIa nephrops o250kW'!D17:N17</xm:f>
              <xm:sqref>C17</xm:sqref>
            </x14:sparkline>
            <x14:sparkline>
              <xm:f>'Area VIIa nephrops o250kW'!D18:N18</xm:f>
              <xm:sqref>C18</xm:sqref>
            </x14:sparkline>
            <x14:sparkline>
              <xm:f>'Area VIIa nephrops o250kW'!D19:N19</xm:f>
              <xm:sqref>C19</xm:sqref>
            </x14:sparkline>
            <x14:sparkline>
              <xm:f>'Area VIIa nephrops o250kW'!D20:N20</xm:f>
              <xm:sqref>C20</xm:sqref>
            </x14:sparkline>
            <x14:sparkline>
              <xm:f>'Area VIIa nephrops o250kW'!D21:N21</xm:f>
              <xm:sqref>C21</xm:sqref>
            </x14:sparkline>
            <x14:sparkline>
              <xm:f>'Area VIIa nephrops o250kW'!D22:N22</xm:f>
              <xm:sqref>C22</xm:sqref>
            </x14:sparkline>
            <x14:sparkline>
              <xm:f>'Area VIIa nephrops o250kW'!D23:N23</xm:f>
              <xm:sqref>C23</xm:sqref>
            </x14:sparkline>
            <x14:sparkline>
              <xm:f>'Area VIIa nephrops o250kW'!D24:N24</xm:f>
              <xm:sqref>C24</xm:sqref>
            </x14:sparkline>
            <x14:sparkline>
              <xm:f>'Area VIIa nephrops o250kW'!D25:N25</xm:f>
              <xm:sqref>C25</xm:sqref>
            </x14:sparkline>
            <x14:sparkline>
              <xm:f>'Area VIIa nephrops o250kW'!D26:N26</xm:f>
              <xm:sqref>C26</xm:sqref>
            </x14:sparkline>
            <x14:sparkline>
              <xm:f>'Area VIIa nephrops o250kW'!D27:N27</xm:f>
              <xm:sqref>C27</xm:sqref>
            </x14:sparkline>
            <x14:sparkline>
              <xm:f>'Area VIIa nephrops o250kW'!D28:N28</xm:f>
              <xm:sqref>C28</xm:sqref>
            </x14:sparkline>
            <x14:sparkline>
              <xm:f>'Area VIIa nephrops o250kW'!D29:N29</xm:f>
              <xm:sqref>C29</xm:sqref>
            </x14:sparkline>
            <x14:sparkline>
              <xm:f>'Area VIIa nephrops o250kW'!D30:N30</xm:f>
              <xm:sqref>C30</xm:sqref>
            </x14:sparkline>
            <x14:sparkline>
              <xm:f>'Area VIIa nephrops o250kW'!D31:N31</xm:f>
              <xm:sqref>C31</xm:sqref>
            </x14:sparkline>
            <x14:sparkline>
              <xm:f>'Area VIIa nephrops o250kW'!D32:N32</xm:f>
              <xm:sqref>C32</xm:sqref>
            </x14:sparkline>
            <x14:sparkline>
              <xm:f>'Area VIIa nephrops o250kW'!D33:N33</xm:f>
              <xm:sqref>C33</xm:sqref>
            </x14:sparkline>
            <x14:sparkline>
              <xm:f>'Area VIIa nephrops o250kW'!D34:N34</xm:f>
              <xm:sqref>C34</xm:sqref>
            </x14:sparkline>
            <x14:sparkline>
              <xm:f>'Area VIIa nephrops o250kW'!D35:N35</xm:f>
              <xm:sqref>C35</xm:sqref>
            </x14:sparkline>
            <x14:sparkline>
              <xm:f>'Area VIIa nephrops o250kW'!D36:N36</xm:f>
              <xm:sqref>C36</xm:sqref>
            </x14:sparkline>
            <x14:sparkline>
              <xm:f>'Area VIIa nephrops o250kW'!D37:N37</xm:f>
              <xm:sqref>C37</xm:sqref>
            </x14:sparkline>
            <x14:sparkline>
              <xm:f>'Area VIIa nephrops o250kW'!D38:N38</xm:f>
              <xm:sqref>C38</xm:sqref>
            </x14:sparkline>
            <x14:sparkline>
              <xm:f>'Area VIIa nephrops o250kW'!D39:N39</xm:f>
              <xm:sqref>C39</xm:sqref>
            </x14:sparkline>
            <x14:sparkline>
              <xm:f>'Area VIIa nephrops o250kW'!D40:N40</xm:f>
              <xm:sqref>C40</xm:sqref>
            </x14:sparkline>
            <x14:sparkline>
              <xm:f>'Area VIIa nephrops o250kW'!D41:N41</xm:f>
              <xm:sqref>C41</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C21EA-BDFD-4A4E-883C-03D73FA1DCAE}">
  <sheetPr codeName="Feuil8">
    <pageSetUpPr fitToPage="1"/>
  </sheetPr>
  <dimension ref="A1:S192"/>
  <sheetViews>
    <sheetView zoomScale="70" zoomScaleNormal="70" zoomScalePageLayoutView="87" workbookViewId="0"/>
  </sheetViews>
  <sheetFormatPr defaultColWidth="9" defaultRowHeight="15" x14ac:dyDescent="0.2"/>
  <cols>
    <col min="1" max="1" width="6" style="21" customWidth="1"/>
    <col min="2" max="2" width="30.125" style="21" customWidth="1"/>
    <col min="3" max="3" width="9.125" style="21" customWidth="1"/>
    <col min="4" max="16" width="10.125" style="21" customWidth="1"/>
    <col min="17" max="16384" width="9" style="21"/>
  </cols>
  <sheetData>
    <row r="1" spans="1:17" s="82" customFormat="1" ht="34.5" customHeight="1" thickBot="1" x14ac:dyDescent="0.25">
      <c r="A1" s="80" t="s">
        <v>148</v>
      </c>
      <c r="B1" s="81"/>
      <c r="K1" s="83"/>
      <c r="L1" s="84"/>
      <c r="M1" s="84" t="s">
        <v>52</v>
      </c>
      <c r="N1" s="85" t="s">
        <v>23</v>
      </c>
      <c r="O1" s="190" t="s">
        <v>24</v>
      </c>
      <c r="P1" s="191"/>
    </row>
    <row r="2" spans="1:17" s="26" customFormat="1" ht="26.25" thickBot="1" x14ac:dyDescent="0.25">
      <c r="A2" s="22"/>
      <c r="B2" s="23" t="s">
        <v>25</v>
      </c>
      <c r="C2" s="24" t="s">
        <v>53</v>
      </c>
      <c r="D2" s="25">
        <v>2011</v>
      </c>
      <c r="E2" s="25">
        <v>2012</v>
      </c>
      <c r="F2" s="25">
        <v>2013</v>
      </c>
      <c r="G2" s="25">
        <v>2014</v>
      </c>
      <c r="H2" s="25">
        <v>2015</v>
      </c>
      <c r="I2" s="25">
        <v>2016</v>
      </c>
      <c r="J2" s="25">
        <v>2017</v>
      </c>
      <c r="K2" s="25">
        <v>2018</v>
      </c>
      <c r="L2" s="25">
        <v>2019</v>
      </c>
      <c r="M2" s="25">
        <v>2020</v>
      </c>
      <c r="N2" s="25">
        <v>2021</v>
      </c>
      <c r="O2" s="24" t="str">
        <f>"%∆
"&amp;D2&amp;"-"&amp;N2</f>
        <v>%∆
2011-2021</v>
      </c>
      <c r="P2" s="24" t="str">
        <f>"%∆
"&amp;J2&amp;"-"&amp;N2</f>
        <v>%∆
2017-2021</v>
      </c>
    </row>
    <row r="3" spans="1:17" ht="18" customHeight="1" x14ac:dyDescent="0.2">
      <c r="A3" s="192" t="s">
        <v>26</v>
      </c>
      <c r="B3" s="27" t="s">
        <v>54</v>
      </c>
      <c r="C3" s="28"/>
      <c r="D3" s="28">
        <v>60</v>
      </c>
      <c r="E3" s="28">
        <v>63</v>
      </c>
      <c r="F3" s="28">
        <v>57</v>
      </c>
      <c r="G3" s="28">
        <v>46</v>
      </c>
      <c r="H3" s="28">
        <v>41</v>
      </c>
      <c r="I3" s="28">
        <v>42</v>
      </c>
      <c r="J3" s="28">
        <v>36</v>
      </c>
      <c r="K3" s="28">
        <v>33</v>
      </c>
      <c r="L3" s="28">
        <v>36</v>
      </c>
      <c r="M3" s="28">
        <v>31</v>
      </c>
      <c r="N3" s="28">
        <v>29</v>
      </c>
      <c r="O3" s="29">
        <f t="shared" ref="O3:O41" si="0">IF(N3=0,"",IFERROR(IF(AND(N3&gt;0,D3&lt;0),"na",IF(AND(N3&lt;0,D3&lt;0),-1,1)*(N3-D3)/D3),""))</f>
        <v>-0.51666666666666672</v>
      </c>
      <c r="P3" s="29">
        <f t="shared" ref="P3:P41" si="1">IF(N3=0,"",IFERROR(IF(AND(N3&gt;0,J3&lt;0),"na",IF(AND(N3&lt;0,J3&lt;0),-1,1)*(N3-J3)/J3),""))</f>
        <v>-0.19444444444444445</v>
      </c>
    </row>
    <row r="4" spans="1:17" ht="18" customHeight="1" x14ac:dyDescent="0.2">
      <c r="A4" s="193"/>
      <c r="B4" s="30" t="s">
        <v>55</v>
      </c>
      <c r="C4" s="31"/>
      <c r="D4" s="31">
        <v>10192</v>
      </c>
      <c r="E4" s="31">
        <v>10721</v>
      </c>
      <c r="F4" s="31">
        <v>9619</v>
      </c>
      <c r="G4" s="31">
        <v>7890</v>
      </c>
      <c r="H4" s="31">
        <v>6935</v>
      </c>
      <c r="I4" s="31">
        <v>6962</v>
      </c>
      <c r="J4" s="31">
        <v>6235</v>
      </c>
      <c r="K4" s="31">
        <v>6098</v>
      </c>
      <c r="L4" s="31">
        <v>6537</v>
      </c>
      <c r="M4" s="31">
        <v>5368</v>
      </c>
      <c r="N4" s="31">
        <v>4963</v>
      </c>
      <c r="O4" s="29">
        <f t="shared" si="0"/>
        <v>-0.5130494505494505</v>
      </c>
      <c r="P4" s="29">
        <f t="shared" si="1"/>
        <v>-0.20400962309542903</v>
      </c>
    </row>
    <row r="5" spans="1:17" ht="18" customHeight="1" x14ac:dyDescent="0.2">
      <c r="A5" s="193"/>
      <c r="B5" s="30" t="s">
        <v>56</v>
      </c>
      <c r="C5" s="31"/>
      <c r="D5" s="31">
        <v>2578</v>
      </c>
      <c r="E5" s="31">
        <v>2646</v>
      </c>
      <c r="F5" s="31">
        <v>2364</v>
      </c>
      <c r="G5" s="31">
        <v>1966</v>
      </c>
      <c r="H5" s="31">
        <v>1863</v>
      </c>
      <c r="I5" s="31">
        <v>1805</v>
      </c>
      <c r="J5" s="31">
        <v>1667</v>
      </c>
      <c r="K5" s="31">
        <v>1617</v>
      </c>
      <c r="L5" s="31">
        <v>1543</v>
      </c>
      <c r="M5" s="31">
        <v>1349</v>
      </c>
      <c r="N5" s="31">
        <v>1136.7900390625</v>
      </c>
      <c r="O5" s="29">
        <f t="shared" si="0"/>
        <v>-0.55904187778801395</v>
      </c>
      <c r="P5" s="29">
        <f t="shared" si="1"/>
        <v>-0.31806236408968208</v>
      </c>
      <c r="Q5" s="32"/>
    </row>
    <row r="6" spans="1:17" ht="18" customHeight="1" x14ac:dyDescent="0.2">
      <c r="A6" s="193"/>
      <c r="B6" s="30" t="s">
        <v>57</v>
      </c>
      <c r="C6" s="31"/>
      <c r="D6" s="31">
        <v>9490.076171875</v>
      </c>
      <c r="E6" s="31">
        <v>9909.1318359375</v>
      </c>
      <c r="F6" s="31">
        <v>8958.6923828125</v>
      </c>
      <c r="G6" s="31">
        <v>7242.65087890625</v>
      </c>
      <c r="H6" s="31">
        <v>6552.38818359375</v>
      </c>
      <c r="I6" s="31">
        <v>6541.9892578125</v>
      </c>
      <c r="J6" s="31">
        <v>5803.7333984375</v>
      </c>
      <c r="K6" s="31">
        <v>5644.48193359375</v>
      </c>
      <c r="L6" s="31">
        <v>5718.52734375</v>
      </c>
      <c r="M6" s="31">
        <v>4925.16552734375</v>
      </c>
      <c r="N6" s="31">
        <v>4378.9453125</v>
      </c>
      <c r="O6" s="29">
        <f t="shared" si="0"/>
        <v>-0.53857637882006271</v>
      </c>
      <c r="P6" s="29">
        <f t="shared" si="1"/>
        <v>-0.24549509567773842</v>
      </c>
    </row>
    <row r="7" spans="1:17" ht="18" customHeight="1" x14ac:dyDescent="0.2">
      <c r="A7" s="193"/>
      <c r="B7" s="30" t="s">
        <v>58</v>
      </c>
      <c r="C7" s="31"/>
      <c r="D7" s="31">
        <v>4609.2392578125</v>
      </c>
      <c r="E7" s="31">
        <v>4814.935546875</v>
      </c>
      <c r="F7" s="31">
        <v>3903.337158203125</v>
      </c>
      <c r="G7" s="31">
        <v>2854.451416015625</v>
      </c>
      <c r="H7" s="31">
        <v>3081.633544921875</v>
      </c>
      <c r="I7" s="31">
        <v>3236.304931640625</v>
      </c>
      <c r="J7" s="31">
        <v>2808.6533203125</v>
      </c>
      <c r="K7" s="31">
        <v>2637.184326171875</v>
      </c>
      <c r="L7" s="31">
        <v>2831.24755859375</v>
      </c>
      <c r="M7" s="31">
        <v>2252.161865234375</v>
      </c>
      <c r="N7" s="31">
        <v>2212.73046875</v>
      </c>
      <c r="O7" s="29">
        <f t="shared" si="0"/>
        <v>-0.51993586251798518</v>
      </c>
      <c r="P7" s="29">
        <f t="shared" si="1"/>
        <v>-0.21217387252912925</v>
      </c>
    </row>
    <row r="8" spans="1:17" ht="18" customHeight="1" x14ac:dyDescent="0.2">
      <c r="A8" s="193"/>
      <c r="B8" s="30" t="s">
        <v>59</v>
      </c>
      <c r="C8" s="33"/>
      <c r="D8" s="33">
        <f ca="1">10.699066*OFFSET(D$112,MATCH($N$1,$C$112:$C$113,0)-1,0)</f>
        <v>10.699066</v>
      </c>
      <c r="E8" s="33">
        <f ca="1">11.64712*OFFSET(E$112,MATCH($N$1,$C$112:$C$113,0)-1,0)</f>
        <v>11.647119999999999</v>
      </c>
      <c r="F8" s="33">
        <f ca="1">8.029234*OFFSET(F$112,MATCH($N$1,$C$112:$C$113,0)-1,0)</f>
        <v>8.0292340000000006</v>
      </c>
      <c r="G8" s="33">
        <f ca="1">6.603542*OFFSET(G$112,MATCH($N$1,$C$112:$C$113,0)-1,0)</f>
        <v>6.603542</v>
      </c>
      <c r="H8" s="33">
        <f ca="1">6.606997*OFFSET(H$112,MATCH($N$1,$C$112:$C$113,0)-1,0)</f>
        <v>6.6069969999999998</v>
      </c>
      <c r="I8" s="33">
        <f ca="1">7.4788*OFFSET(I$112,MATCH($N$1,$C$112:$C$113,0)-1,0)</f>
        <v>7.4787999999999997</v>
      </c>
      <c r="J8" s="33">
        <f ca="1">6.336348*OFFSET(J$112,MATCH($N$1,$C$112:$C$113,0)-1,0)</f>
        <v>6.3363480000000001</v>
      </c>
      <c r="K8" s="33">
        <f ca="1">6.203477*OFFSET(K$112,MATCH($N$1,$C$112:$C$113,0)-1,0)</f>
        <v>6.2034770000000004</v>
      </c>
      <c r="L8" s="33">
        <f ca="1">6.677784*OFFSET(L$112,MATCH($N$1,$C$112:$C$113,0)-1,0)</f>
        <v>6.6777839999999999</v>
      </c>
      <c r="M8" s="33">
        <f ca="1">3.96930075*OFFSET(M$112,MATCH($N$1,$C$112:$C$113,0)-1,0)</f>
        <v>3.9693007499999999</v>
      </c>
      <c r="N8" s="33">
        <v>3.9777282499999997</v>
      </c>
      <c r="O8" s="29">
        <f t="shared" ca="1" si="0"/>
        <v>-0.62821724344910101</v>
      </c>
      <c r="P8" s="29">
        <f t="shared" ca="1" si="1"/>
        <v>-0.37223646018179563</v>
      </c>
    </row>
    <row r="9" spans="1:17" ht="18" customHeight="1" x14ac:dyDescent="0.2">
      <c r="A9" s="193"/>
      <c r="B9" s="30" t="s">
        <v>60</v>
      </c>
      <c r="C9" s="31"/>
      <c r="D9" s="31">
        <v>7971</v>
      </c>
      <c r="E9" s="31">
        <v>8280</v>
      </c>
      <c r="F9" s="31">
        <v>7175</v>
      </c>
      <c r="G9" s="31">
        <v>5982</v>
      </c>
      <c r="H9" s="31">
        <v>5198</v>
      </c>
      <c r="I9" s="31">
        <v>5723</v>
      </c>
      <c r="J9" s="31">
        <v>4513</v>
      </c>
      <c r="K9" s="31">
        <v>4485</v>
      </c>
      <c r="L9" s="31">
        <v>4410</v>
      </c>
      <c r="M9" s="31">
        <v>3190</v>
      </c>
      <c r="N9" s="31">
        <v>3343</v>
      </c>
      <c r="O9" s="29">
        <f t="shared" si="0"/>
        <v>-0.58060469200853093</v>
      </c>
      <c r="P9" s="29">
        <f t="shared" si="1"/>
        <v>-0.25925105251495678</v>
      </c>
    </row>
    <row r="10" spans="1:17" ht="18" customHeight="1" x14ac:dyDescent="0.2">
      <c r="A10" s="193"/>
      <c r="B10" s="30" t="s">
        <v>61</v>
      </c>
      <c r="C10" s="31"/>
      <c r="D10" s="31">
        <v>221.44322204589844</v>
      </c>
      <c r="E10" s="31">
        <v>230.16598510742188</v>
      </c>
      <c r="F10" s="31">
        <v>217.82579040527344</v>
      </c>
      <c r="G10" s="31">
        <v>164.29833984375</v>
      </c>
      <c r="H10" s="31">
        <v>174.3016357421875</v>
      </c>
      <c r="I10" s="31">
        <v>188.00741577148438</v>
      </c>
      <c r="J10" s="31">
        <v>148.91290283203125</v>
      </c>
      <c r="K10" s="31">
        <v>186.03703308105469</v>
      </c>
      <c r="L10" s="31">
        <v>108.76429748535156</v>
      </c>
      <c r="M10" s="31">
        <v>103.40901947021484</v>
      </c>
      <c r="N10" s="31">
        <v>106.02757263183594</v>
      </c>
      <c r="O10" s="34">
        <f t="shared" si="0"/>
        <v>-0.52119748054487913</v>
      </c>
      <c r="P10" s="34">
        <f t="shared" si="1"/>
        <v>-0.28798935071844328</v>
      </c>
    </row>
    <row r="11" spans="1:17" ht="18" customHeight="1" x14ac:dyDescent="0.2">
      <c r="A11" s="194" t="s">
        <v>27</v>
      </c>
      <c r="B11" s="35" t="s">
        <v>62</v>
      </c>
      <c r="C11" s="36"/>
      <c r="D11" s="36">
        <v>15.441166877746582</v>
      </c>
      <c r="E11" s="36">
        <v>15.268730163574219</v>
      </c>
      <c r="F11" s="36">
        <v>15.463859558105469</v>
      </c>
      <c r="G11" s="36">
        <v>15.353695869445801</v>
      </c>
      <c r="H11" s="36">
        <v>15.750244140625</v>
      </c>
      <c r="I11" s="36">
        <v>15.418333053588867</v>
      </c>
      <c r="J11" s="36">
        <v>15.557499885559082</v>
      </c>
      <c r="K11" s="36">
        <v>15.974545478820801</v>
      </c>
      <c r="L11" s="36">
        <v>15.242777824401855</v>
      </c>
      <c r="M11" s="36">
        <v>15.042902946472168</v>
      </c>
      <c r="N11" s="36">
        <v>14.210689544677734</v>
      </c>
      <c r="O11" s="29">
        <f t="shared" si="0"/>
        <v>-7.9688105362178324E-2</v>
      </c>
      <c r="P11" s="29">
        <f t="shared" si="1"/>
        <v>-8.6569844177308702E-2</v>
      </c>
    </row>
    <row r="12" spans="1:17" ht="18" customHeight="1" x14ac:dyDescent="0.2">
      <c r="A12" s="195"/>
      <c r="B12" s="37" t="s">
        <v>55</v>
      </c>
      <c r="C12" s="31"/>
      <c r="D12" s="31">
        <v>169.86666870117188</v>
      </c>
      <c r="E12" s="31">
        <v>170.17460632324219</v>
      </c>
      <c r="F12" s="31">
        <v>168.75437927246094</v>
      </c>
      <c r="G12" s="31">
        <v>171.52174377441406</v>
      </c>
      <c r="H12" s="31">
        <v>169.14634704589844</v>
      </c>
      <c r="I12" s="31">
        <v>165.76190185546875</v>
      </c>
      <c r="J12" s="31">
        <v>173.19444274902344</v>
      </c>
      <c r="K12" s="31">
        <v>184.78787231445313</v>
      </c>
      <c r="L12" s="31">
        <v>181.58332824707031</v>
      </c>
      <c r="M12" s="31">
        <v>173.16128540039063</v>
      </c>
      <c r="N12" s="31">
        <v>171.13792419433594</v>
      </c>
      <c r="O12" s="29">
        <f t="shared" si="0"/>
        <v>7.4838430804835838E-3</v>
      </c>
      <c r="P12" s="29">
        <f t="shared" si="1"/>
        <v>-1.1874044698233227E-2</v>
      </c>
    </row>
    <row r="13" spans="1:17" ht="18" customHeight="1" x14ac:dyDescent="0.2">
      <c r="A13" s="195"/>
      <c r="B13" s="37" t="s">
        <v>56</v>
      </c>
      <c r="C13" s="31"/>
      <c r="D13" s="31">
        <v>42.966667175292969</v>
      </c>
      <c r="E13" s="31">
        <v>42</v>
      </c>
      <c r="F13" s="31">
        <v>41.473682403564453</v>
      </c>
      <c r="G13" s="31">
        <v>42.739131927490234</v>
      </c>
      <c r="H13" s="31">
        <v>45.43902587890625</v>
      </c>
      <c r="I13" s="31">
        <v>42.976188659667969</v>
      </c>
      <c r="J13" s="31">
        <v>46.305557250976563</v>
      </c>
      <c r="K13" s="31">
        <v>49</v>
      </c>
      <c r="L13" s="31">
        <v>42.861110687255859</v>
      </c>
      <c r="M13" s="31">
        <v>43.516128540039063</v>
      </c>
      <c r="N13" s="31">
        <v>39.199653625488281</v>
      </c>
      <c r="O13" s="29">
        <f t="shared" si="0"/>
        <v>-8.7672928748144224E-2</v>
      </c>
      <c r="P13" s="29">
        <f t="shared" si="1"/>
        <v>-0.15345682132652494</v>
      </c>
    </row>
    <row r="14" spans="1:17" ht="18" customHeight="1" x14ac:dyDescent="0.2">
      <c r="A14" s="195"/>
      <c r="B14" s="37" t="s">
        <v>57</v>
      </c>
      <c r="C14" s="31"/>
      <c r="D14" s="31">
        <v>158.16793823242188</v>
      </c>
      <c r="E14" s="31">
        <v>157.28781127929688</v>
      </c>
      <c r="F14" s="31">
        <v>157.1700439453125</v>
      </c>
      <c r="G14" s="31">
        <v>157.44894409179688</v>
      </c>
      <c r="H14" s="31">
        <v>159.81434631347656</v>
      </c>
      <c r="I14" s="31">
        <v>155.76165771484375</v>
      </c>
      <c r="J14" s="31">
        <v>161.21482849121094</v>
      </c>
      <c r="K14" s="31">
        <v>171.04490661621094</v>
      </c>
      <c r="L14" s="31">
        <v>163.38648986816406</v>
      </c>
      <c r="M14" s="31">
        <v>158.87631225585938</v>
      </c>
      <c r="N14" s="31">
        <v>150.99810791015625</v>
      </c>
      <c r="O14" s="29">
        <f t="shared" si="0"/>
        <v>-4.5330491137399967E-2</v>
      </c>
      <c r="P14" s="29">
        <f t="shared" si="1"/>
        <v>-6.3373330336121525E-2</v>
      </c>
    </row>
    <row r="15" spans="1:17" ht="18" customHeight="1" x14ac:dyDescent="0.2">
      <c r="A15" s="195"/>
      <c r="B15" s="37" t="s">
        <v>58</v>
      </c>
      <c r="C15" s="33"/>
      <c r="D15" s="33">
        <v>76.820655822753906</v>
      </c>
      <c r="E15" s="33">
        <v>76.42755126953125</v>
      </c>
      <c r="F15" s="33">
        <v>68.479598999023438</v>
      </c>
      <c r="G15" s="33">
        <v>62.053295135498047</v>
      </c>
      <c r="H15" s="33">
        <v>75.161796569824219</v>
      </c>
      <c r="I15" s="33">
        <v>77.054878234863281</v>
      </c>
      <c r="J15" s="33">
        <v>78.018142700195313</v>
      </c>
      <c r="K15" s="33">
        <v>79.9146728515625</v>
      </c>
      <c r="L15" s="33">
        <v>78.645767211914063</v>
      </c>
      <c r="M15" s="33">
        <v>72.650382995605469</v>
      </c>
      <c r="N15" s="33">
        <v>76.301055908203125</v>
      </c>
      <c r="O15" s="29">
        <f t="shared" si="0"/>
        <v>-6.7638047213452492E-3</v>
      </c>
      <c r="P15" s="29">
        <f t="shared" si="1"/>
        <v>-2.2008814008691965E-2</v>
      </c>
    </row>
    <row r="16" spans="1:17" ht="18" customHeight="1" x14ac:dyDescent="0.2">
      <c r="A16" s="195"/>
      <c r="B16" s="37" t="s">
        <v>63</v>
      </c>
      <c r="C16" s="33"/>
      <c r="D16" s="33">
        <f ca="1">178.317765625*OFFSET(D$112,MATCH($N$1,$C$112:$C$113,0)-1,0)</f>
        <v>178.31776562499999</v>
      </c>
      <c r="E16" s="33">
        <f ca="1">184.874921875*OFFSET(E$112,MATCH($N$1,$C$112:$C$113,0)-1,0)</f>
        <v>184.87492187500001</v>
      </c>
      <c r="F16" s="33">
        <f ca="1">140.863765625*OFFSET(F$112,MATCH($N$1,$C$112:$C$113,0)-1,0)</f>
        <v>140.86376562500001</v>
      </c>
      <c r="G16" s="33">
        <f ca="1">143.55525*OFFSET(G$112,MATCH($N$1,$C$112:$C$113,0)-1,0)</f>
        <v>143.55525</v>
      </c>
      <c r="H16" s="33">
        <f ca="1">161.146265625*OFFSET(H$112,MATCH($N$1,$C$112:$C$113,0)-1,0)</f>
        <v>161.14626562500001</v>
      </c>
      <c r="I16" s="33">
        <f ca="1">178.066671875*OFFSET(I$112,MATCH($N$1,$C$112:$C$113,0)-1,0)</f>
        <v>178.066671875</v>
      </c>
      <c r="J16" s="33">
        <f ca="1">176.009671875*OFFSET(J$112,MATCH($N$1,$C$112:$C$113,0)-1,0)</f>
        <v>176.00967187500001</v>
      </c>
      <c r="K16" s="33">
        <f ca="1">187.98415625*OFFSET(K$112,MATCH($N$1,$C$112:$C$113,0)-1,0)</f>
        <v>187.98415625000001</v>
      </c>
      <c r="L16" s="33">
        <f ca="1">185.494*OFFSET(L$112,MATCH($N$1,$C$112:$C$113,0)-1,0)</f>
        <v>185.494</v>
      </c>
      <c r="M16" s="33">
        <f ca="1">128.0419609375*OFFSET(M$112,MATCH($N$1,$C$112:$C$113,0)-1,0)</f>
        <v>128.04196093749999</v>
      </c>
      <c r="N16" s="33">
        <v>137.16303124999999</v>
      </c>
      <c r="O16" s="29">
        <f t="shared" ca="1" si="0"/>
        <v>-0.23079435877156451</v>
      </c>
      <c r="P16" s="29">
        <f t="shared" ca="1" si="1"/>
        <v>-0.22070742028647405</v>
      </c>
    </row>
    <row r="17" spans="1:16" ht="18" customHeight="1" x14ac:dyDescent="0.2">
      <c r="A17" s="195"/>
      <c r="B17" s="37" t="s">
        <v>60</v>
      </c>
      <c r="C17" s="31"/>
      <c r="D17" s="31">
        <v>132.85000610351563</v>
      </c>
      <c r="E17" s="31">
        <v>131.42857360839844</v>
      </c>
      <c r="F17" s="31">
        <v>125.87718963623047</v>
      </c>
      <c r="G17" s="31">
        <v>130.04347229003906</v>
      </c>
      <c r="H17" s="31">
        <v>126.78048706054688</v>
      </c>
      <c r="I17" s="31">
        <v>136.26190185546875</v>
      </c>
      <c r="J17" s="31">
        <v>125.36111450195313</v>
      </c>
      <c r="K17" s="31">
        <v>135.90908813476563</v>
      </c>
      <c r="L17" s="31">
        <v>122.5</v>
      </c>
      <c r="M17" s="31">
        <v>102.90322875976563</v>
      </c>
      <c r="N17" s="31">
        <v>115.27586364746094</v>
      </c>
      <c r="O17" s="29">
        <f t="shared" si="0"/>
        <v>-0.13228559765636036</v>
      </c>
      <c r="P17" s="29">
        <f t="shared" si="1"/>
        <v>-8.0449594713319653E-2</v>
      </c>
    </row>
    <row r="18" spans="1:16" ht="18" customHeight="1" x14ac:dyDescent="0.2">
      <c r="A18" s="195"/>
      <c r="B18" s="37" t="s">
        <v>64</v>
      </c>
      <c r="C18" s="31"/>
      <c r="D18" s="31">
        <v>37.183334350585938</v>
      </c>
      <c r="E18" s="31">
        <v>36.682540893554688</v>
      </c>
      <c r="F18" s="31">
        <v>39.350875854492188</v>
      </c>
      <c r="G18" s="31">
        <v>38.804347991943359</v>
      </c>
      <c r="H18" s="31">
        <v>40.073169708251953</v>
      </c>
      <c r="I18" s="31">
        <v>40.833332061767578</v>
      </c>
      <c r="J18" s="31">
        <v>39.833332061767578</v>
      </c>
      <c r="K18" s="31">
        <v>40.969696044921875</v>
      </c>
      <c r="L18" s="31">
        <v>40.685714721679688</v>
      </c>
      <c r="M18" s="31">
        <v>41.870967864990234</v>
      </c>
      <c r="N18" s="31">
        <v>42.137931823730469</v>
      </c>
      <c r="O18" s="29">
        <f t="shared" si="0"/>
        <v>0.13324779930787611</v>
      </c>
      <c r="P18" s="29">
        <f t="shared" si="1"/>
        <v>5.7856062816669759E-2</v>
      </c>
    </row>
    <row r="19" spans="1:16" ht="18" customHeight="1" x14ac:dyDescent="0.2">
      <c r="A19" s="195"/>
      <c r="B19" s="37" t="s">
        <v>65</v>
      </c>
      <c r="C19" s="38"/>
      <c r="D19" s="38">
        <v>0.57825106382369995</v>
      </c>
      <c r="E19" s="38">
        <v>0.58151394128799438</v>
      </c>
      <c r="F19" s="38">
        <v>0.54401910305023193</v>
      </c>
      <c r="G19" s="38">
        <v>0.47717347741127014</v>
      </c>
      <c r="H19" s="38">
        <v>0.59284985065460205</v>
      </c>
      <c r="I19" s="38">
        <v>0.56549102067947388</v>
      </c>
      <c r="J19" s="38">
        <v>0.62234723567962646</v>
      </c>
      <c r="K19" s="38">
        <v>0.58800095319747925</v>
      </c>
      <c r="L19" s="38">
        <v>0.6420062780380249</v>
      </c>
      <c r="M19" s="38">
        <v>0.70600682497024536</v>
      </c>
      <c r="N19" s="38">
        <v>0.66189968585968018</v>
      </c>
      <c r="O19" s="29">
        <f t="shared" si="0"/>
        <v>0.1446579647996695</v>
      </c>
      <c r="P19" s="29">
        <f t="shared" si="1"/>
        <v>6.3553668936700516E-2</v>
      </c>
    </row>
    <row r="20" spans="1:16" ht="18" customHeight="1" x14ac:dyDescent="0.2">
      <c r="A20" s="196"/>
      <c r="B20" s="39" t="s">
        <v>28</v>
      </c>
      <c r="C20" s="40"/>
      <c r="D20" s="40">
        <f ca="1">2321*OFFSET(D$112,MATCH($N$1,$C$112:$C$113,0)-1,0)</f>
        <v>2321</v>
      </c>
      <c r="E20" s="40">
        <f ca="1">2419*OFFSET(E$112,MATCH($N$1,$C$112:$C$113,0)-1,0)</f>
        <v>2419</v>
      </c>
      <c r="F20" s="40">
        <f ca="1">2057*OFFSET(F$112,MATCH($N$1,$C$112:$C$113,0)-1,0)</f>
        <v>2057</v>
      </c>
      <c r="G20" s="40">
        <f ca="1">2313*OFFSET(G$112,MATCH($N$1,$C$112:$C$113,0)-1,0)</f>
        <v>2313</v>
      </c>
      <c r="H20" s="40">
        <f ca="1">2144*OFFSET(H$112,MATCH($N$1,$C$112:$C$113,0)-1,0)</f>
        <v>2144</v>
      </c>
      <c r="I20" s="40">
        <f ca="1">2311*OFFSET(I$112,MATCH($N$1,$C$112:$C$113,0)-1,0)</f>
        <v>2311</v>
      </c>
      <c r="J20" s="40">
        <f ca="1">2256*OFFSET(J$112,MATCH($N$1,$C$112:$C$113,0)-1,0)</f>
        <v>2256</v>
      </c>
      <c r="K20" s="40">
        <f ca="1">2352*OFFSET(K$112,MATCH($N$1,$C$112:$C$113,0)-1,0)</f>
        <v>2352</v>
      </c>
      <c r="L20" s="40">
        <f ca="1">2359*OFFSET(L$112,MATCH($N$1,$C$112:$C$113,0)-1,0)</f>
        <v>2359</v>
      </c>
      <c r="M20" s="40">
        <f ca="1">1762*OFFSET(M$112,MATCH($N$1,$C$112:$C$113,0)-1,0)</f>
        <v>1762</v>
      </c>
      <c r="N20" s="40">
        <v>1798</v>
      </c>
      <c r="O20" s="34">
        <f t="shared" ca="1" si="0"/>
        <v>-0.22533390779836276</v>
      </c>
      <c r="P20" s="34">
        <f t="shared" ca="1" si="1"/>
        <v>-0.20301418439716312</v>
      </c>
    </row>
    <row r="21" spans="1:16" ht="18" customHeight="1" x14ac:dyDescent="0.2">
      <c r="A21" s="197" t="s">
        <v>29</v>
      </c>
      <c r="B21" s="35" t="s">
        <v>66</v>
      </c>
      <c r="C21" s="41"/>
      <c r="D21" s="41">
        <v>3.3590217052065969</v>
      </c>
      <c r="E21" s="41">
        <v>3.3961332581277488</v>
      </c>
      <c r="F21" s="41">
        <v>3.173493963976195</v>
      </c>
      <c r="G21" s="41">
        <v>2.7335049176467137</v>
      </c>
      <c r="H21" s="41">
        <v>3.4210155616052056</v>
      </c>
      <c r="I21" s="41">
        <v>3.3465052515072471</v>
      </c>
      <c r="J21" s="41">
        <v>3.5067224258126615</v>
      </c>
      <c r="K21" s="41">
        <v>3.0978682595323872</v>
      </c>
      <c r="L21" s="41">
        <v>3.4496068397965258</v>
      </c>
      <c r="M21" s="41">
        <v>3.866923438686745</v>
      </c>
      <c r="N21" s="41">
        <v>3.693633957427207</v>
      </c>
      <c r="O21" s="29">
        <f t="shared" si="0"/>
        <v>9.9615983934235916E-2</v>
      </c>
      <c r="P21" s="29">
        <f t="shared" si="1"/>
        <v>5.3300920038240537E-2</v>
      </c>
    </row>
    <row r="22" spans="1:16" ht="18" customHeight="1" x14ac:dyDescent="0.2">
      <c r="A22" s="197"/>
      <c r="B22" s="37" t="s">
        <v>67</v>
      </c>
      <c r="C22" s="38"/>
      <c r="D22" s="38">
        <f ca="1">7.79703373712809*OFFSET(D$112,MATCH($N$1,$C$112:$C$113,0)-1,0)</f>
        <v>7.79703373712809</v>
      </c>
      <c r="E22" s="38">
        <f ca="1">8.21509861750288*OFFSET(E$112,MATCH($N$1,$C$112:$C$113,0)-1,0)</f>
        <v>8.2150986175028802</v>
      </c>
      <c r="F22" s="38">
        <f ca="1">6.52793410721155*OFFSET(F$112,MATCH($N$1,$C$112:$C$113,0)-1,0)</f>
        <v>6.52793410721155</v>
      </c>
      <c r="G22" s="38">
        <f ca="1">6.32374124487908*OFFSET(G$112,MATCH($N$1,$C$112:$C$113,0)-1,0)</f>
        <v>6.3237412448790797</v>
      </c>
      <c r="H22" s="38">
        <f ca="1">7.33462886142638*OFFSET(H$112,MATCH($N$1,$C$112:$C$113,0)-1,0)</f>
        <v>7.3346288614263804</v>
      </c>
      <c r="I22" s="38">
        <f ca="1">7.73346303567957*OFFSET(I$112,MATCH($N$1,$C$112:$C$113,0)-1,0)</f>
        <v>7.7334630356795699</v>
      </c>
      <c r="J22" s="38">
        <f ca="1">7.91119914115112*OFFSET(J$112,MATCH($N$1,$C$112:$C$113,0)-1,0)</f>
        <v>7.91119914115112</v>
      </c>
      <c r="K22" s="38">
        <f ca="1">7.28714928262971*OFFSET(K$112,MATCH($N$1,$C$112:$C$113,0)-1,0)</f>
        <v>7.2871492826297102</v>
      </c>
      <c r="L22" s="38">
        <f ca="1">8.13624679147743*OFFSET(L$112,MATCH($N$1,$C$112:$C$113,0)-1,0)</f>
        <v>8.1362467914774292</v>
      </c>
      <c r="M22" s="38">
        <f ca="1">6.81522160612121*OFFSET(M$112,MATCH($N$1,$C$112:$C$113,0)-1,0)</f>
        <v>6.8152216061212103</v>
      </c>
      <c r="N22" s="38">
        <v>6.6398822912512454</v>
      </c>
      <c r="O22" s="29">
        <f t="shared" ca="1" si="0"/>
        <v>-0.14840918801809141</v>
      </c>
      <c r="P22" s="29">
        <f t="shared" ca="1" si="1"/>
        <v>-0.1606983754570096</v>
      </c>
    </row>
    <row r="23" spans="1:16" ht="18" customHeight="1" x14ac:dyDescent="0.2">
      <c r="A23" s="197"/>
      <c r="B23" s="37" t="s">
        <v>11</v>
      </c>
      <c r="C23" s="38"/>
      <c r="D23" s="38">
        <f ca="1">5.9192593241643*OFFSET(D$112,MATCH($N$1,$C$112:$C$113,0)-1,0)</f>
        <v>5.9192593241643001</v>
      </c>
      <c r="E23" s="38">
        <f ca="1">6.54584595607399*OFFSET(E$112,MATCH($N$1,$C$112:$C$113,0)-1,0)</f>
        <v>6.5458459560739897</v>
      </c>
      <c r="F23" s="38">
        <f ca="1">5.19755052836422*OFFSET(F$112,MATCH($N$1,$C$112:$C$113,0)-1,0)</f>
        <v>5.1975505283642196</v>
      </c>
      <c r="G23" s="38">
        <f ca="1">5.32108985467669*OFFSET(G$112,MATCH($N$1,$C$112:$C$113,0)-1,0)</f>
        <v>5.32108985467669</v>
      </c>
      <c r="H23" s="38">
        <f ca="1">5.8411539137157*OFFSET(H$112,MATCH($N$1,$C$112:$C$113,0)-1,0)</f>
        <v>5.8411539137156998</v>
      </c>
      <c r="I23" s="38">
        <f ca="1">6.0356982296444*OFFSET(I$112,MATCH($N$1,$C$112:$C$113,0)-1,0)</f>
        <v>6.0356982296444004</v>
      </c>
      <c r="J23" s="38">
        <f ca="1">6.47837703616897*OFFSET(J$112,MATCH($N$1,$C$112:$C$113,0)-1,0)</f>
        <v>6.4783770361689701</v>
      </c>
      <c r="K23" s="38">
        <f ca="1">5.87086072320544*OFFSET(K$112,MATCH($N$1,$C$112:$C$113,0)-1,0)</f>
        <v>5.8708607232054399</v>
      </c>
      <c r="L23" s="38">
        <f ca="1">6.83167950532596*OFFSET(L$112,MATCH($N$1,$C$112:$C$113,0)-1,0)</f>
        <v>6.83167950532596</v>
      </c>
      <c r="M23" s="38">
        <f ca="1">5.66137361301903*OFFSET(M$112,MATCH($N$1,$C$112:$C$113,0)-1,0)</f>
        <v>5.6613736130190304</v>
      </c>
      <c r="N23" s="38">
        <v>5.5519254023546667</v>
      </c>
      <c r="O23" s="29">
        <f t="shared" ca="1" si="0"/>
        <v>-6.205741321554531E-2</v>
      </c>
      <c r="P23" s="29">
        <f t="shared" ca="1" si="1"/>
        <v>-0.14300674823985954</v>
      </c>
    </row>
    <row r="24" spans="1:16" ht="18" customHeight="1" x14ac:dyDescent="0.2">
      <c r="A24" s="197"/>
      <c r="B24" s="37" t="s">
        <v>12</v>
      </c>
      <c r="C24" s="38"/>
      <c r="D24" s="38">
        <f ca="1">1.87777441296379*OFFSET(D$112,MATCH($N$1,$C$112:$C$113,0)-1,0)</f>
        <v>1.8777744129637901</v>
      </c>
      <c r="E24" s="38">
        <f ca="1">1.87679533949871*OFFSET(E$112,MATCH($N$1,$C$112:$C$113,0)-1,0)</f>
        <v>1.87679533949871</v>
      </c>
      <c r="F24" s="38">
        <f ca="1">1.38442730749214*OFFSET(F$112,MATCH($N$1,$C$112:$C$113,0)-1,0)</f>
        <v>1.38442730749214</v>
      </c>
      <c r="G24" s="38">
        <f ca="1">1.03601188755451*OFFSET(G$112,MATCH($N$1,$C$112:$C$113,0)-1,0)</f>
        <v>1.0360118875545099</v>
      </c>
      <c r="H24" s="38">
        <f ca="1">1.49347494771068*OFFSET(H$112,MATCH($N$1,$C$112:$C$113,0)-1,0)</f>
        <v>1.4934749477106799</v>
      </c>
      <c r="I24" s="38">
        <f ca="1">1.69776480603516*OFFSET(I$112,MATCH($N$1,$C$112:$C$113,0)-1,0)</f>
        <v>1.69776480603516</v>
      </c>
      <c r="J24" s="38">
        <f ca="1">2.11742927195281*OFFSET(J$112,MATCH($N$1,$C$112:$C$113,0)-1,0)</f>
        <v>2.1174292719528101</v>
      </c>
      <c r="K24" s="38">
        <f ca="1">1.52474478707543*OFFSET(K$112,MATCH($N$1,$C$112:$C$113,0)-1,0)</f>
        <v>1.52474478707543</v>
      </c>
      <c r="L24" s="38">
        <f ca="1">1.35375442331064*OFFSET(L$112,MATCH($N$1,$C$112:$C$113,0)-1,0)</f>
        <v>1.35375442331064</v>
      </c>
      <c r="M24" s="38">
        <f ca="1">2.1549112750089*OFFSET(M$112,MATCH($N$1,$C$112:$C$113,0)-1,0)</f>
        <v>2.1549112750088999</v>
      </c>
      <c r="N24" s="38">
        <v>1.1287645554617007</v>
      </c>
      <c r="O24" s="29">
        <f t="shared" ca="1" si="0"/>
        <v>-0.39888170396351696</v>
      </c>
      <c r="P24" s="29">
        <f t="shared" ca="1" si="1"/>
        <v>-0.46691746902096437</v>
      </c>
    </row>
    <row r="25" spans="1:16" ht="18" customHeight="1" x14ac:dyDescent="0.2">
      <c r="A25" s="197"/>
      <c r="B25" s="37" t="s">
        <v>68</v>
      </c>
      <c r="C25" s="33"/>
      <c r="D25" s="33">
        <f ca="1">48.31*OFFSET(D$112,MATCH($N$1,$C$112:$C$113,0)-1,0)</f>
        <v>48.31</v>
      </c>
      <c r="E25" s="33">
        <f ca="1">50.61*OFFSET(E$112,MATCH($N$1,$C$112:$C$113,0)-1,0)</f>
        <v>50.61</v>
      </c>
      <c r="F25" s="33">
        <f ca="1">36.87*OFFSET(F$112,MATCH($N$1,$C$112:$C$113,0)-1,0)</f>
        <v>36.869999999999997</v>
      </c>
      <c r="G25" s="33">
        <f ca="1">40.2*OFFSET(G$112,MATCH($N$1,$C$112:$C$113,0)-1,0)</f>
        <v>40.200000000000003</v>
      </c>
      <c r="H25" s="33">
        <f ca="1">37.89*OFFSET(H$112,MATCH($N$1,$C$112:$C$113,0)-1,0)</f>
        <v>37.89</v>
      </c>
      <c r="I25" s="33">
        <f ca="1">39.79*OFFSET(I$112,MATCH($N$1,$C$112:$C$113,0)-1,0)</f>
        <v>39.79</v>
      </c>
      <c r="J25" s="33">
        <f ca="1">42.55*OFFSET(J$112,MATCH($N$1,$C$112:$C$113,0)-1,0)</f>
        <v>42.55</v>
      </c>
      <c r="K25" s="33">
        <f ca="1">33.35*OFFSET(K$112,MATCH($N$1,$C$112:$C$113,0)-1,0)</f>
        <v>33.35</v>
      </c>
      <c r="L25" s="33">
        <f ca="1">61.4*OFFSET(L$112,MATCH($N$1,$C$112:$C$113,0)-1,0)</f>
        <v>61.4</v>
      </c>
      <c r="M25" s="33">
        <f ca="1">38.37*OFFSET(M$112,MATCH($N$1,$C$112:$C$113,0)-1,0)</f>
        <v>38.369999999999997</v>
      </c>
      <c r="N25" s="33">
        <v>37.53</v>
      </c>
      <c r="O25" s="29">
        <f t="shared" ca="1" si="0"/>
        <v>-0.22314220658248812</v>
      </c>
      <c r="P25" s="29">
        <f t="shared" ca="1" si="1"/>
        <v>-0.11797884841363093</v>
      </c>
    </row>
    <row r="26" spans="1:16" ht="18" customHeight="1" x14ac:dyDescent="0.2">
      <c r="A26" s="198"/>
      <c r="B26" s="37" t="s">
        <v>69</v>
      </c>
      <c r="C26" s="33"/>
      <c r="D26" s="33">
        <f ca="1">11.62*OFFSET(D$112,MATCH($N$1,$C$112:$C$113,0)-1,0)</f>
        <v>11.62</v>
      </c>
      <c r="E26" s="33">
        <f ca="1">11.55*OFFSET(E$112,MATCH($N$1,$C$112:$C$113,0)-1,0)</f>
        <v>11.55</v>
      </c>
      <c r="F26" s="33">
        <f ca="1">7.82*OFFSET(F$112,MATCH($N$1,$C$112:$C$113,0)-1,0)</f>
        <v>7.82</v>
      </c>
      <c r="G26" s="33">
        <f ca="1">6.58*OFFSET(G$112,MATCH($N$1,$C$112:$C$113,0)-1,0)</f>
        <v>6.58</v>
      </c>
      <c r="H26" s="33">
        <f ca="1">7.72*OFFSET(H$112,MATCH($N$1,$C$112:$C$113,0)-1,0)</f>
        <v>7.72</v>
      </c>
      <c r="I26" s="33">
        <f ca="1">8.73*OFFSET(I$112,MATCH($N$1,$C$112:$C$113,0)-1,0)</f>
        <v>8.73</v>
      </c>
      <c r="J26" s="33">
        <f ca="1">11.39*OFFSET(J$112,MATCH($N$1,$C$112:$C$113,0)-1,0)</f>
        <v>11.39</v>
      </c>
      <c r="K26" s="33">
        <f ca="1">6.97*OFFSET(K$112,MATCH($N$1,$C$112:$C$113,0)-1,0)</f>
        <v>6.97</v>
      </c>
      <c r="L26" s="33">
        <f ca="1">10.23*OFFSET(L$112,MATCH($N$1,$C$112:$C$113,0)-1,0)</f>
        <v>10.23</v>
      </c>
      <c r="M26" s="33">
        <f ca="1">12.14*OFFSET(M$112,MATCH($N$1,$C$112:$C$113,0)-1,0)</f>
        <v>12.14</v>
      </c>
      <c r="N26" s="33">
        <v>6.37</v>
      </c>
      <c r="O26" s="34">
        <f t="shared" ca="1" si="0"/>
        <v>-0.45180722891566261</v>
      </c>
      <c r="P26" s="34">
        <f t="shared" ca="1" si="1"/>
        <v>-0.44073748902546095</v>
      </c>
    </row>
    <row r="27" spans="1:16" ht="18" customHeight="1" x14ac:dyDescent="0.2">
      <c r="A27" s="187" t="s">
        <v>30</v>
      </c>
      <c r="B27" s="35" t="s">
        <v>63</v>
      </c>
      <c r="C27" s="36"/>
      <c r="D27" s="36">
        <f ca="1">178.3*OFFSET(D$112,MATCH($N$1,$C$112:$C$113,0)-1,0)</f>
        <v>178.3</v>
      </c>
      <c r="E27" s="36">
        <f ca="1">184.9*OFFSET(E$112,MATCH($N$1,$C$112:$C$113,0)-1,0)</f>
        <v>184.9</v>
      </c>
      <c r="F27" s="36">
        <f ca="1">140.9*OFFSET(F$112,MATCH($N$1,$C$112:$C$113,0)-1,0)</f>
        <v>140.9</v>
      </c>
      <c r="G27" s="36">
        <f ca="1">143.6*OFFSET(G$112,MATCH($N$1,$C$112:$C$113,0)-1,0)</f>
        <v>143.6</v>
      </c>
      <c r="H27" s="36">
        <f ca="1">161.1*OFFSET(H$112,MATCH($N$1,$C$112:$C$113,0)-1,0)</f>
        <v>161.1</v>
      </c>
      <c r="I27" s="36">
        <f ca="1">178.1*OFFSET(I$112,MATCH($N$1,$C$112:$C$113,0)-1,0)</f>
        <v>178.1</v>
      </c>
      <c r="J27" s="36">
        <f ca="1">176*OFFSET(J$112,MATCH($N$1,$C$112:$C$113,0)-1,0)</f>
        <v>176</v>
      </c>
      <c r="K27" s="36">
        <f ca="1">188*OFFSET(K$112,MATCH($N$1,$C$112:$C$113,0)-1,0)</f>
        <v>188</v>
      </c>
      <c r="L27" s="36">
        <f ca="1">185.5*OFFSET(L$112,MATCH($N$1,$C$112:$C$113,0)-1,0)</f>
        <v>185.5</v>
      </c>
      <c r="M27" s="36">
        <f ca="1">128*OFFSET(M$112,MATCH($N$1,$C$112:$C$113,0)-1,0)</f>
        <v>128</v>
      </c>
      <c r="N27" s="36">
        <v>137.20000000000002</v>
      </c>
      <c r="O27" s="29">
        <f t="shared" ca="1" si="0"/>
        <v>-0.23051037577117214</v>
      </c>
      <c r="P27" s="29">
        <f t="shared" ca="1" si="1"/>
        <v>-0.22045454545454535</v>
      </c>
    </row>
    <row r="28" spans="1:16" ht="18" customHeight="1" x14ac:dyDescent="0.2">
      <c r="A28" s="199"/>
      <c r="B28" s="37" t="s">
        <v>70</v>
      </c>
      <c r="C28" s="33"/>
      <c r="D28" s="33"/>
      <c r="E28" s="33">
        <f ca="1">4.7*OFFSET(E$112,MATCH($N$1,$C$112:$C$113,0)-1,0)</f>
        <v>4.7</v>
      </c>
      <c r="F28" s="33">
        <f ca="1">1.2*OFFSET(F$112,MATCH($N$1,$C$112:$C$113,0)-1,0)</f>
        <v>1.2</v>
      </c>
      <c r="G28" s="33">
        <f ca="1">0.8*OFFSET(G$112,MATCH($N$1,$C$112:$C$113,0)-1,0)</f>
        <v>0.8</v>
      </c>
      <c r="H28" s="33"/>
      <c r="I28" s="33"/>
      <c r="J28" s="33">
        <f ca="1">15.2*OFFSET(J$112,MATCH($N$1,$C$112:$C$113,0)-1,0)</f>
        <v>15.2</v>
      </c>
      <c r="K28" s="33">
        <f ca="1">2.8*OFFSET(K$112,MATCH($N$1,$C$112:$C$113,0)-1,0)</f>
        <v>2.8</v>
      </c>
      <c r="L28" s="33">
        <f ca="1">1.1*OFFSET(L$112,MATCH($N$1,$C$112:$C$113,0)-1,0)</f>
        <v>1.1000000000000001</v>
      </c>
      <c r="M28" s="33">
        <f ca="1">18.8*OFFSET(M$112,MATCH($N$1,$C$112:$C$113,0)-1,0)</f>
        <v>18.8</v>
      </c>
      <c r="N28" s="33">
        <v>0.8</v>
      </c>
      <c r="O28" s="29" t="str">
        <f t="shared" si="0"/>
        <v/>
      </c>
      <c r="P28" s="29">
        <f t="shared" ca="1" si="1"/>
        <v>-0.94736842105263153</v>
      </c>
    </row>
    <row r="29" spans="1:16" ht="18" customHeight="1" x14ac:dyDescent="0.2">
      <c r="A29" s="199"/>
      <c r="B29" s="42" t="s">
        <v>71</v>
      </c>
      <c r="C29" s="43"/>
      <c r="D29" s="43">
        <f ca="1">178.3*OFFSET(D$112,MATCH($N$1,$C$112:$C$113,0)-1,0)</f>
        <v>178.3</v>
      </c>
      <c r="E29" s="43">
        <f ca="1">189.5*OFFSET(E$112,MATCH($N$1,$C$112:$C$113,0)-1,0)</f>
        <v>189.5</v>
      </c>
      <c r="F29" s="43">
        <f ca="1">142*OFFSET(F$112,MATCH($N$1,$C$112:$C$113,0)-1,0)</f>
        <v>142</v>
      </c>
      <c r="G29" s="43">
        <f ca="1">144.3*OFFSET(G$112,MATCH($N$1,$C$112:$C$113,0)-1,0)</f>
        <v>144.30000000000001</v>
      </c>
      <c r="H29" s="43">
        <f ca="1">161.1*OFFSET(H$112,MATCH($N$1,$C$112:$C$113,0)-1,0)</f>
        <v>161.1</v>
      </c>
      <c r="I29" s="43">
        <f ca="1">178.1*OFFSET(I$112,MATCH($N$1,$C$112:$C$113,0)-1,0)</f>
        <v>178.1</v>
      </c>
      <c r="J29" s="43">
        <f ca="1">191.2*OFFSET(J$112,MATCH($N$1,$C$112:$C$113,0)-1,0)</f>
        <v>191.2</v>
      </c>
      <c r="K29" s="43">
        <f ca="1">190.8*OFFSET(K$112,MATCH($N$1,$C$112:$C$113,0)-1,0)</f>
        <v>190.8</v>
      </c>
      <c r="L29" s="43">
        <f ca="1">186.6*OFFSET(L$112,MATCH($N$1,$C$112:$C$113,0)-1,0)</f>
        <v>186.6</v>
      </c>
      <c r="M29" s="43">
        <f ca="1">146.8*OFFSET(M$112,MATCH($N$1,$C$112:$C$113,0)-1,0)</f>
        <v>146.80000000000001</v>
      </c>
      <c r="N29" s="43">
        <v>138</v>
      </c>
      <c r="O29" s="29">
        <f t="shared" ca="1" si="0"/>
        <v>-0.22602355580482339</v>
      </c>
      <c r="P29" s="29">
        <f t="shared" ca="1" si="1"/>
        <v>-0.27824267782426776</v>
      </c>
    </row>
    <row r="30" spans="1:16" ht="18" customHeight="1" x14ac:dyDescent="0.2">
      <c r="A30" s="199"/>
      <c r="B30" s="37" t="s">
        <v>72</v>
      </c>
      <c r="C30" s="33"/>
      <c r="D30" s="33">
        <f ca="1">29.6*OFFSET(D$112,MATCH($N$1,$C$112:$C$113,0)-1,0)</f>
        <v>29.6</v>
      </c>
      <c r="E30" s="33">
        <f ca="1">29.6*OFFSET(E$112,MATCH($N$1,$C$112:$C$113,0)-1,0)</f>
        <v>29.6</v>
      </c>
      <c r="F30" s="33">
        <f ca="1">27.5*OFFSET(F$112,MATCH($N$1,$C$112:$C$113,0)-1,0)</f>
        <v>27.5</v>
      </c>
      <c r="G30" s="33">
        <f ca="1">25.6*OFFSET(G$112,MATCH($N$1,$C$112:$C$113,0)-1,0)</f>
        <v>25.6</v>
      </c>
      <c r="H30" s="33">
        <f ca="1">17.7*OFFSET(H$112,MATCH($N$1,$C$112:$C$113,0)-1,0)</f>
        <v>17.7</v>
      </c>
      <c r="I30" s="33">
        <f ca="1">17.1*OFFSET(I$112,MATCH($N$1,$C$112:$C$113,0)-1,0)</f>
        <v>17.100000000000001</v>
      </c>
      <c r="J30" s="33">
        <f ca="1">20.4*OFFSET(J$112,MATCH($N$1,$C$112:$C$113,0)-1,0)</f>
        <v>20.399999999999999</v>
      </c>
      <c r="K30" s="33">
        <f ca="1">28.3*OFFSET(K$112,MATCH($N$1,$C$112:$C$113,0)-1,0)</f>
        <v>28.3</v>
      </c>
      <c r="L30" s="33">
        <f ca="1">23.6*OFFSET(L$112,MATCH($N$1,$C$112:$C$113,0)-1,0)</f>
        <v>23.6</v>
      </c>
      <c r="M30" s="33">
        <f ca="1">14.2*OFFSET(M$112,MATCH($N$1,$C$112:$C$113,0)-1,0)</f>
        <v>14.2</v>
      </c>
      <c r="N30" s="33">
        <v>17.600000000000001</v>
      </c>
      <c r="O30" s="29">
        <f t="shared" ca="1" si="0"/>
        <v>-0.40540540540540537</v>
      </c>
      <c r="P30" s="29">
        <f t="shared" ca="1" si="1"/>
        <v>-0.13725490196078419</v>
      </c>
    </row>
    <row r="31" spans="1:16" ht="18" customHeight="1" x14ac:dyDescent="0.2">
      <c r="A31" s="199"/>
      <c r="B31" s="37" t="s">
        <v>73</v>
      </c>
      <c r="C31" s="33"/>
      <c r="D31" s="33">
        <f ca="1">54.5*OFFSET(D$112,MATCH($N$1,$C$112:$C$113,0)-1,0)</f>
        <v>54.5</v>
      </c>
      <c r="E31" s="33">
        <f ca="1">56.6*OFFSET(E$112,MATCH($N$1,$C$112:$C$113,0)-1,0)</f>
        <v>56.6</v>
      </c>
      <c r="F31" s="33">
        <f ca="1">40.6*OFFSET(F$112,MATCH($N$1,$C$112:$C$113,0)-1,0)</f>
        <v>40.6</v>
      </c>
      <c r="G31" s="33">
        <f ca="1">50.9*OFFSET(G$112,MATCH($N$1,$C$112:$C$113,0)-1,0)</f>
        <v>50.9</v>
      </c>
      <c r="H31" s="33">
        <f ca="1">45.5*OFFSET(H$112,MATCH($N$1,$C$112:$C$113,0)-1,0)</f>
        <v>45.5</v>
      </c>
      <c r="I31" s="33">
        <f ca="1">56.5*OFFSET(I$112,MATCH($N$1,$C$112:$C$113,0)-1,0)</f>
        <v>56.5</v>
      </c>
      <c r="J31" s="33">
        <f ca="1">52.5*OFFSET(J$112,MATCH($N$1,$C$112:$C$113,0)-1,0)</f>
        <v>52.5</v>
      </c>
      <c r="K31" s="33">
        <f ca="1">68.1*OFFSET(K$112,MATCH($N$1,$C$112:$C$113,0)-1,0)</f>
        <v>68.099999999999994</v>
      </c>
      <c r="L31" s="33">
        <f ca="1">68.5*OFFSET(L$112,MATCH($N$1,$C$112:$C$113,0)-1,0)</f>
        <v>68.5</v>
      </c>
      <c r="M31" s="33">
        <f ca="1">53.8*OFFSET(M$112,MATCH($N$1,$C$112:$C$113,0)-1,0)</f>
        <v>53.8</v>
      </c>
      <c r="N31" s="33">
        <v>56.300000000000004</v>
      </c>
      <c r="O31" s="29">
        <f t="shared" ca="1" si="0"/>
        <v>3.3027522935779895E-2</v>
      </c>
      <c r="P31" s="29">
        <f t="shared" ca="1" si="1"/>
        <v>7.2380952380952462E-2</v>
      </c>
    </row>
    <row r="32" spans="1:16" ht="18" customHeight="1" x14ac:dyDescent="0.2">
      <c r="A32" s="199"/>
      <c r="B32" s="37" t="s">
        <v>74</v>
      </c>
      <c r="C32" s="33"/>
      <c r="D32" s="33">
        <f ca="1">25.5*OFFSET(D$112,MATCH($N$1,$C$112:$C$113,0)-1,0)</f>
        <v>25.5</v>
      </c>
      <c r="E32" s="33">
        <f ca="1">28.6*OFFSET(E$112,MATCH($N$1,$C$112:$C$113,0)-1,0)</f>
        <v>28.6</v>
      </c>
      <c r="F32" s="33">
        <f ca="1">24.3*OFFSET(F$112,MATCH($N$1,$C$112:$C$113,0)-1,0)</f>
        <v>24.3</v>
      </c>
      <c r="G32" s="33">
        <f ca="1">20.1*OFFSET(G$112,MATCH($N$1,$C$112:$C$113,0)-1,0)</f>
        <v>20.100000000000001</v>
      </c>
      <c r="H32" s="33">
        <f ca="1">20.3*OFFSET(H$112,MATCH($N$1,$C$112:$C$113,0)-1,0)</f>
        <v>20.3</v>
      </c>
      <c r="I32" s="33">
        <f ca="1">24.5*OFFSET(I$112,MATCH($N$1,$C$112:$C$113,0)-1,0)</f>
        <v>24.5</v>
      </c>
      <c r="J32" s="33">
        <f ca="1">24.7*OFFSET(J$112,MATCH($N$1,$C$112:$C$113,0)-1,0)</f>
        <v>24.7</v>
      </c>
      <c r="K32" s="33">
        <f ca="1">19.5*OFFSET(K$112,MATCH($N$1,$C$112:$C$113,0)-1,0)</f>
        <v>19.5</v>
      </c>
      <c r="L32" s="33">
        <f ca="1">22.4*OFFSET(L$112,MATCH($N$1,$C$112:$C$113,0)-1,0)</f>
        <v>22.4</v>
      </c>
      <c r="M32" s="33">
        <f ca="1">16.6*OFFSET(M$112,MATCH($N$1,$C$112:$C$113,0)-1,0)</f>
        <v>16.600000000000001</v>
      </c>
      <c r="N32" s="33">
        <v>17.8</v>
      </c>
      <c r="O32" s="29">
        <f t="shared" ca="1" si="0"/>
        <v>-0.30196078431372547</v>
      </c>
      <c r="P32" s="29">
        <f t="shared" ca="1" si="1"/>
        <v>-0.27935222672064774</v>
      </c>
    </row>
    <row r="33" spans="1:16" ht="18" customHeight="1" x14ac:dyDescent="0.2">
      <c r="A33" s="199"/>
      <c r="B33" s="37" t="s">
        <v>75</v>
      </c>
      <c r="C33" s="33"/>
      <c r="D33" s="33">
        <f ca="1">109.6*OFFSET(D$112,MATCH($N$1,$C$112:$C$113,0)-1,0)</f>
        <v>109.6</v>
      </c>
      <c r="E33" s="33">
        <f ca="1">114.8*OFFSET(E$112,MATCH($N$1,$C$112:$C$113,0)-1,0)</f>
        <v>114.8</v>
      </c>
      <c r="F33" s="33">
        <f ca="1">92.5*OFFSET(F$112,MATCH($N$1,$C$112:$C$113,0)-1,0)</f>
        <v>92.5</v>
      </c>
      <c r="G33" s="33">
        <f ca="1">96.6*OFFSET(G$112,MATCH($N$1,$C$112:$C$113,0)-1,0)</f>
        <v>96.6</v>
      </c>
      <c r="H33" s="33">
        <f ca="1">83.5*OFFSET(H$112,MATCH($N$1,$C$112:$C$113,0)-1,0)</f>
        <v>83.5</v>
      </c>
      <c r="I33" s="33">
        <f ca="1">98.2*OFFSET(I$112,MATCH($N$1,$C$112:$C$113,0)-1,0)</f>
        <v>98.2</v>
      </c>
      <c r="J33" s="33">
        <f ca="1">97.6*OFFSET(J$112,MATCH($N$1,$C$112:$C$113,0)-1,0)</f>
        <v>97.6</v>
      </c>
      <c r="K33" s="33">
        <f ca="1">115.9*OFFSET(K$112,MATCH($N$1,$C$112:$C$113,0)-1,0)</f>
        <v>115.9</v>
      </c>
      <c r="L33" s="33">
        <f ca="1">114.5*OFFSET(L$112,MATCH($N$1,$C$112:$C$113,0)-1,0)</f>
        <v>114.5</v>
      </c>
      <c r="M33" s="33">
        <f ca="1">84.5*OFFSET(M$112,MATCH($N$1,$C$112:$C$113,0)-1,0)</f>
        <v>84.5</v>
      </c>
      <c r="N33" s="33">
        <v>91.600000000000009</v>
      </c>
      <c r="O33" s="29">
        <f t="shared" ca="1" si="0"/>
        <v>-0.16423357664233565</v>
      </c>
      <c r="P33" s="29">
        <f t="shared" ca="1" si="1"/>
        <v>-6.1475409836065434E-2</v>
      </c>
    </row>
    <row r="34" spans="1:16" ht="18" customHeight="1" x14ac:dyDescent="0.2">
      <c r="A34" s="199"/>
      <c r="B34" s="37" t="s">
        <v>76</v>
      </c>
      <c r="C34" s="33"/>
      <c r="D34" s="33">
        <f ca="1">25.8*OFFSET(D$112,MATCH($N$1,$C$112:$C$113,0)-1,0)</f>
        <v>25.8</v>
      </c>
      <c r="E34" s="33">
        <f ca="1">32.6*OFFSET(E$112,MATCH($N$1,$C$112:$C$113,0)-1,0)</f>
        <v>32.6</v>
      </c>
      <c r="F34" s="33">
        <f ca="1">19.7*OFFSET(F$112,MATCH($N$1,$C$112:$C$113,0)-1,0)</f>
        <v>19.7</v>
      </c>
      <c r="G34" s="33">
        <f ca="1">24.2*OFFSET(G$112,MATCH($N$1,$C$112:$C$113,0)-1,0)</f>
        <v>24.2</v>
      </c>
      <c r="H34" s="33">
        <f ca="1">44.8*OFFSET(H$112,MATCH($N$1,$C$112:$C$113,0)-1,0)</f>
        <v>44.8</v>
      </c>
      <c r="I34" s="33">
        <f ca="1">40.8*OFFSET(I$112,MATCH($N$1,$C$112:$C$113,0)-1,0)</f>
        <v>40.799999999999997</v>
      </c>
      <c r="J34" s="33">
        <f ca="1">46.5*OFFSET(J$112,MATCH($N$1,$C$112:$C$113,0)-1,0)</f>
        <v>46.5</v>
      </c>
      <c r="K34" s="33">
        <f ca="1">35.5*OFFSET(K$112,MATCH($N$1,$C$112:$C$113,0)-1,0)</f>
        <v>35.5</v>
      </c>
      <c r="L34" s="33">
        <f ca="1">41.2*OFFSET(L$112,MATCH($N$1,$C$112:$C$113,0)-1,0)</f>
        <v>41.2</v>
      </c>
      <c r="M34" s="33">
        <f ca="1">21.8*OFFSET(M$112,MATCH($N$1,$C$112:$C$113,0)-1,0)</f>
        <v>21.8</v>
      </c>
      <c r="N34" s="33">
        <v>23.1</v>
      </c>
      <c r="O34" s="29">
        <f t="shared" ca="1" si="0"/>
        <v>-0.10465116279069764</v>
      </c>
      <c r="P34" s="29">
        <f t="shared" ca="1" si="1"/>
        <v>-0.50322580645161286</v>
      </c>
    </row>
    <row r="35" spans="1:16" ht="18" customHeight="1" x14ac:dyDescent="0.2">
      <c r="A35" s="199"/>
      <c r="B35" s="37" t="s">
        <v>77</v>
      </c>
      <c r="C35" s="33"/>
      <c r="D35" s="33">
        <f ca="1">135.4*OFFSET(D$112,MATCH($N$1,$C$112:$C$113,0)-1,0)</f>
        <v>135.4</v>
      </c>
      <c r="E35" s="33">
        <f ca="1">147.3*OFFSET(E$112,MATCH($N$1,$C$112:$C$113,0)-1,0)</f>
        <v>147.30000000000001</v>
      </c>
      <c r="F35" s="33">
        <f ca="1">112.2*OFFSET(F$112,MATCH($N$1,$C$112:$C$113,0)-1,0)</f>
        <v>112.2</v>
      </c>
      <c r="G35" s="33">
        <f ca="1">120.8*OFFSET(G$112,MATCH($N$1,$C$112:$C$113,0)-1,0)</f>
        <v>120.8</v>
      </c>
      <c r="H35" s="33">
        <f ca="1">128.3*OFFSET(H$112,MATCH($N$1,$C$112:$C$113,0)-1,0)</f>
        <v>128.30000000000001</v>
      </c>
      <c r="I35" s="33">
        <f ca="1">139*OFFSET(I$112,MATCH($N$1,$C$112:$C$113,0)-1,0)</f>
        <v>139</v>
      </c>
      <c r="J35" s="33">
        <f ca="1">144.1*OFFSET(J$112,MATCH($N$1,$C$112:$C$113,0)-1,0)</f>
        <v>144.1</v>
      </c>
      <c r="K35" s="33">
        <f ca="1">151.4*OFFSET(K$112,MATCH($N$1,$C$112:$C$113,0)-1,0)</f>
        <v>151.4</v>
      </c>
      <c r="L35" s="33">
        <f ca="1">155.8*OFFSET(L$112,MATCH($N$1,$C$112:$C$113,0)-1,0)</f>
        <v>155.80000000000001</v>
      </c>
      <c r="M35" s="33">
        <f ca="1">106.4*OFFSET(M$112,MATCH($N$1,$C$112:$C$113,0)-1,0)</f>
        <v>106.4</v>
      </c>
      <c r="N35" s="33">
        <v>114.7</v>
      </c>
      <c r="O35" s="29">
        <f t="shared" ca="1" si="0"/>
        <v>-0.15288035450516987</v>
      </c>
      <c r="P35" s="29">
        <f t="shared" ca="1" si="1"/>
        <v>-0.2040249826509368</v>
      </c>
    </row>
    <row r="36" spans="1:16" ht="18" customHeight="1" x14ac:dyDescent="0.2">
      <c r="A36" s="199"/>
      <c r="B36" s="42" t="s">
        <v>78</v>
      </c>
      <c r="C36" s="43"/>
      <c r="D36" s="43">
        <f ca="1">97.4*OFFSET(D$112,MATCH($N$1,$C$112:$C$113,0)-1,0)</f>
        <v>97.4</v>
      </c>
      <c r="E36" s="43">
        <f ca="1">98.8*OFFSET(E$112,MATCH($N$1,$C$112:$C$113,0)-1,0)</f>
        <v>98.8</v>
      </c>
      <c r="F36" s="43">
        <f ca="1">70.5*OFFSET(F$112,MATCH($N$1,$C$112:$C$113,0)-1,0)</f>
        <v>70.5</v>
      </c>
      <c r="G36" s="43">
        <f ca="1">74.4*OFFSET(G$112,MATCH($N$1,$C$112:$C$113,0)-1,0)</f>
        <v>74.400000000000006</v>
      </c>
      <c r="H36" s="43">
        <f ca="1">78.3*OFFSET(H$112,MATCH($N$1,$C$112:$C$113,0)-1,0)</f>
        <v>78.3</v>
      </c>
      <c r="I36" s="43">
        <f ca="1">95.6*OFFSET(I$112,MATCH($N$1,$C$112:$C$113,0)-1,0)</f>
        <v>95.6</v>
      </c>
      <c r="J36" s="43">
        <f ca="1">99.6*OFFSET(J$112,MATCH($N$1,$C$112:$C$113,0)-1,0)</f>
        <v>99.6</v>
      </c>
      <c r="K36" s="43">
        <f ca="1">107.4*OFFSET(K$112,MATCH($N$1,$C$112:$C$113,0)-1,0)</f>
        <v>107.4</v>
      </c>
      <c r="L36" s="43">
        <f ca="1">99.4*OFFSET(L$112,MATCH($N$1,$C$112:$C$113,0)-1,0)</f>
        <v>99.4</v>
      </c>
      <c r="M36" s="43">
        <f ca="1">94.3*OFFSET(M$112,MATCH($N$1,$C$112:$C$113,0)-1,0)</f>
        <v>94.3</v>
      </c>
      <c r="N36" s="43">
        <v>79.600000000000009</v>
      </c>
      <c r="O36" s="29">
        <f t="shared" ca="1" si="0"/>
        <v>-0.18275154004106772</v>
      </c>
      <c r="P36" s="29">
        <f t="shared" ca="1" si="1"/>
        <v>-0.20080321285140548</v>
      </c>
    </row>
    <row r="37" spans="1:16" ht="18" customHeight="1" x14ac:dyDescent="0.2">
      <c r="A37" s="199"/>
      <c r="B37" s="42" t="s">
        <v>79</v>
      </c>
      <c r="C37" s="43"/>
      <c r="D37" s="43">
        <f ca="1">42.9*OFFSET(D$112,MATCH($N$1,$C$112:$C$113,0)-1,0)</f>
        <v>42.9</v>
      </c>
      <c r="E37" s="43">
        <f ca="1">42.2*OFFSET(E$112,MATCH($N$1,$C$112:$C$113,0)-1,0)</f>
        <v>42.2</v>
      </c>
      <c r="F37" s="43">
        <f ca="1">29.9*OFFSET(F$112,MATCH($N$1,$C$112:$C$113,0)-1,0)</f>
        <v>29.9</v>
      </c>
      <c r="G37" s="43">
        <f ca="1">23.5*OFFSET(G$112,MATCH($N$1,$C$112:$C$113,0)-1,0)</f>
        <v>23.5</v>
      </c>
      <c r="H37" s="43">
        <f ca="1">32.8*OFFSET(H$112,MATCH($N$1,$C$112:$C$113,0)-1,0)</f>
        <v>32.799999999999997</v>
      </c>
      <c r="I37" s="43">
        <f ca="1">39.1*OFFSET(I$112,MATCH($N$1,$C$112:$C$113,0)-1,0)</f>
        <v>39.1</v>
      </c>
      <c r="J37" s="43">
        <f ca="1">47.1*OFFSET(J$112,MATCH($N$1,$C$112:$C$113,0)-1,0)</f>
        <v>47.1</v>
      </c>
      <c r="K37" s="43">
        <f ca="1">39.3*OFFSET(K$112,MATCH($N$1,$C$112:$C$113,0)-1,0)</f>
        <v>39.299999999999997</v>
      </c>
      <c r="L37" s="43">
        <f ca="1">30.9*OFFSET(L$112,MATCH($N$1,$C$112:$C$113,0)-1,0)</f>
        <v>30.9</v>
      </c>
      <c r="M37" s="43">
        <f ca="1">40.5*OFFSET(M$112,MATCH($N$1,$C$112:$C$113,0)-1,0)</f>
        <v>40.5</v>
      </c>
      <c r="N37" s="43">
        <v>23.3</v>
      </c>
      <c r="O37" s="29">
        <f t="shared" ca="1" si="0"/>
        <v>-0.45687645687645684</v>
      </c>
      <c r="P37" s="29">
        <f t="shared" ca="1" si="1"/>
        <v>-0.50530785562632696</v>
      </c>
    </row>
    <row r="38" spans="1:16" ht="18" customHeight="1" x14ac:dyDescent="0.2">
      <c r="A38" s="199"/>
      <c r="B38" s="37" t="s">
        <v>80</v>
      </c>
      <c r="C38" s="33"/>
      <c r="D38" s="33">
        <f ca="1">2.5*OFFSET(D$112,MATCH($N$1,$C$112:$C$113,0)-1,0)</f>
        <v>2.5</v>
      </c>
      <c r="E38" s="33">
        <f ca="1">5.3*OFFSET(E$112,MATCH($N$1,$C$112:$C$113,0)-1,0)</f>
        <v>5.3</v>
      </c>
      <c r="F38" s="33">
        <f ca="1">3.9*OFFSET(F$112,MATCH($N$1,$C$112:$C$113,0)-1,0)</f>
        <v>3.9</v>
      </c>
      <c r="G38" s="33">
        <f ca="1">3.2*OFFSET(G$112,MATCH($N$1,$C$112:$C$113,0)-1,0)</f>
        <v>3.2</v>
      </c>
      <c r="H38" s="33">
        <f ca="1">0.5*OFFSET(H$112,MATCH($N$1,$C$112:$C$113,0)-1,0)</f>
        <v>0.5</v>
      </c>
      <c r="I38" s="33">
        <f ca="1">0.7*OFFSET(I$112,MATCH($N$1,$C$112:$C$113,0)-1,0)</f>
        <v>0.7</v>
      </c>
      <c r="J38" s="33">
        <f ca="1">1.5*OFFSET(J$112,MATCH($N$1,$C$112:$C$113,0)-1,0)</f>
        <v>1.5</v>
      </c>
      <c r="K38" s="33">
        <f ca="1">2.9*OFFSET(K$112,MATCH($N$1,$C$112:$C$113,0)-1,0)</f>
        <v>2.9</v>
      </c>
      <c r="L38" s="33">
        <f ca="1">4.9*OFFSET(L$112,MATCH($N$1,$C$112:$C$113,0)-1,0)</f>
        <v>4.9000000000000004</v>
      </c>
      <c r="M38" s="33">
        <f ca="1">4.3*OFFSET(M$112,MATCH($N$1,$C$112:$C$113,0)-1,0)</f>
        <v>4.3</v>
      </c>
      <c r="N38" s="33"/>
      <c r="O38" s="29" t="str">
        <f t="shared" si="0"/>
        <v/>
      </c>
      <c r="P38" s="29" t="str">
        <f t="shared" si="1"/>
        <v/>
      </c>
    </row>
    <row r="39" spans="1:16" ht="18" customHeight="1" x14ac:dyDescent="0.2">
      <c r="A39" s="199"/>
      <c r="B39" s="37" t="s">
        <v>81</v>
      </c>
      <c r="C39" s="33"/>
      <c r="D39" s="33">
        <f ca="1">1*OFFSET(D$112,MATCH($N$1,$C$112:$C$113,0)-1,0)</f>
        <v>1</v>
      </c>
      <c r="E39" s="33">
        <f ca="1">0.8*OFFSET(E$112,MATCH($N$1,$C$112:$C$113,0)-1,0)</f>
        <v>0.8</v>
      </c>
      <c r="F39" s="33">
        <f ca="1">0.6*OFFSET(F$112,MATCH($N$1,$C$112:$C$113,0)-1,0)</f>
        <v>0.6</v>
      </c>
      <c r="G39" s="33">
        <f ca="1">0.3*OFFSET(G$112,MATCH($N$1,$C$112:$C$113,0)-1,0)</f>
        <v>0.3</v>
      </c>
      <c r="H39" s="33">
        <f ca="1">3.9*OFFSET(H$112,MATCH($N$1,$C$112:$C$113,0)-1,0)</f>
        <v>3.9</v>
      </c>
      <c r="I39" s="33">
        <f ca="1">1.4*OFFSET(I$112,MATCH($N$1,$C$112:$C$113,0)-1,0)</f>
        <v>1.4</v>
      </c>
      <c r="J39" s="33">
        <f ca="1">1.2*OFFSET(J$112,MATCH($N$1,$C$112:$C$113,0)-1,0)</f>
        <v>1.2</v>
      </c>
      <c r="K39" s="33">
        <f ca="1">0.2*OFFSET(K$112,MATCH($N$1,$C$112:$C$113,0)-1,0)</f>
        <v>0.2</v>
      </c>
      <c r="L39" s="33">
        <f ca="1">3.6*OFFSET(L$112,MATCH($N$1,$C$112:$C$113,0)-1,0)</f>
        <v>3.6</v>
      </c>
      <c r="M39" s="33">
        <f ca="1">3.2*OFFSET(M$112,MATCH($N$1,$C$112:$C$113,0)-1,0)</f>
        <v>3.2</v>
      </c>
      <c r="N39" s="33"/>
      <c r="O39" s="29" t="str">
        <f t="shared" si="0"/>
        <v/>
      </c>
      <c r="P39" s="29" t="str">
        <f t="shared" si="1"/>
        <v/>
      </c>
    </row>
    <row r="40" spans="1:16" ht="18" customHeight="1" x14ac:dyDescent="0.2">
      <c r="A40" s="199"/>
      <c r="B40" s="37" t="s">
        <v>82</v>
      </c>
      <c r="C40" s="33"/>
      <c r="D40" s="33">
        <f ca="1">0.6*OFFSET(D$112,MATCH($N$1,$C$112:$C$113,0)-1,0)</f>
        <v>0.6</v>
      </c>
      <c r="E40" s="33">
        <f ca="1">0.2*OFFSET(E$112,MATCH($N$1,$C$112:$C$113,0)-1,0)</f>
        <v>0.2</v>
      </c>
      <c r="F40" s="33">
        <f ca="1">0.2*OFFSET(F$112,MATCH($N$1,$C$112:$C$113,0)-1,0)</f>
        <v>0.2</v>
      </c>
      <c r="G40" s="33">
        <f ca="1">4.1*OFFSET(G$112,MATCH($N$1,$C$112:$C$113,0)-1,0)</f>
        <v>4.0999999999999996</v>
      </c>
      <c r="H40" s="33">
        <f ca="1">0.4*OFFSET(H$112,MATCH($N$1,$C$112:$C$113,0)-1,0)</f>
        <v>0.4</v>
      </c>
      <c r="I40" s="33">
        <f ca="1">0.4*OFFSET(I$112,MATCH($N$1,$C$112:$C$113,0)-1,0)</f>
        <v>0.4</v>
      </c>
      <c r="J40" s="33">
        <f ca="1">1.4*OFFSET(J$112,MATCH($N$1,$C$112:$C$113,0)-1,0)</f>
        <v>1.4</v>
      </c>
      <c r="K40" s="33">
        <f ca="1">13.4*OFFSET(K$112,MATCH($N$1,$C$112:$C$113,0)-1,0)</f>
        <v>13.4</v>
      </c>
      <c r="L40" s="33">
        <f ca="1">0.5*OFFSET(L$112,MATCH($N$1,$C$112:$C$113,0)-1,0)</f>
        <v>0.5</v>
      </c>
      <c r="M40" s="33">
        <f ca="1">1.9*OFFSET(M$112,MATCH($N$1,$C$112:$C$113,0)-1,0)</f>
        <v>1.9</v>
      </c>
      <c r="N40" s="33"/>
      <c r="O40" s="29" t="str">
        <f t="shared" si="0"/>
        <v/>
      </c>
      <c r="P40" s="29" t="str">
        <f t="shared" si="1"/>
        <v/>
      </c>
    </row>
    <row r="41" spans="1:16" ht="18" customHeight="1" thickBot="1" x14ac:dyDescent="0.25">
      <c r="A41" s="200"/>
      <c r="B41" s="44" t="s">
        <v>83</v>
      </c>
      <c r="C41" s="45"/>
      <c r="D41" s="45">
        <f ca="1">38.8*OFFSET(D$112,MATCH($N$1,$C$112:$C$113,0)-1,0)</f>
        <v>38.799999999999997</v>
      </c>
      <c r="E41" s="45">
        <f ca="1">35.9*OFFSET(E$112,MATCH($N$1,$C$112:$C$113,0)-1,0)</f>
        <v>35.9</v>
      </c>
      <c r="F41" s="45">
        <f ca="1">25.1*OFFSET(F$112,MATCH($N$1,$C$112:$C$113,0)-1,0)</f>
        <v>25.1</v>
      </c>
      <c r="G41" s="45">
        <f ca="1">15.9*OFFSET(G$112,MATCH($N$1,$C$112:$C$113,0)-1,0)</f>
        <v>15.9</v>
      </c>
      <c r="H41" s="45">
        <f ca="1">28*OFFSET(H$112,MATCH($N$1,$C$112:$C$113,0)-1,0)</f>
        <v>28</v>
      </c>
      <c r="I41" s="45">
        <f ca="1">36.6*OFFSET(I$112,MATCH($N$1,$C$112:$C$113,0)-1,0)</f>
        <v>36.6</v>
      </c>
      <c r="J41" s="45">
        <f ca="1">43*OFFSET(J$112,MATCH($N$1,$C$112:$C$113,0)-1,0)</f>
        <v>43</v>
      </c>
      <c r="K41" s="45">
        <f ca="1">22.8*OFFSET(K$112,MATCH($N$1,$C$112:$C$113,0)-1,0)</f>
        <v>22.8</v>
      </c>
      <c r="L41" s="45">
        <f ca="1">21.9*OFFSET(L$112,MATCH($N$1,$C$112:$C$113,0)-1,0)</f>
        <v>21.9</v>
      </c>
      <c r="M41" s="45">
        <f ca="1">13.2*OFFSET(M$112,MATCH($N$1,$C$112:$C$113,0)-1,0)</f>
        <v>13.2</v>
      </c>
      <c r="N41" s="45"/>
      <c r="O41" s="46" t="str">
        <f t="shared" si="0"/>
        <v/>
      </c>
      <c r="P41" s="46" t="str">
        <f t="shared" si="1"/>
        <v/>
      </c>
    </row>
    <row r="42" spans="1:16" s="86" customFormat="1" x14ac:dyDescent="0.2">
      <c r="A42" s="81" t="s">
        <v>31</v>
      </c>
      <c r="B42" s="81" t="str">
        <f ca="1">B89</f>
        <v>All values are adjusted to 2021 prices. 2021 fishing income based on provisional data from MMO. 2021 costs and profits are projections.</v>
      </c>
      <c r="P42" s="87" t="str">
        <f>M1</f>
        <v>Version: June 2022</v>
      </c>
    </row>
    <row r="43" spans="1:16" s="86" customFormat="1" x14ac:dyDescent="0.2">
      <c r="B43" s="81" t="s">
        <v>32</v>
      </c>
    </row>
    <row r="44" spans="1:16" s="82" customFormat="1" ht="36.75" customHeight="1" x14ac:dyDescent="0.2">
      <c r="A44" s="86"/>
      <c r="B44" s="201"/>
      <c r="C44" s="201"/>
      <c r="D44" s="88"/>
      <c r="E44" s="89"/>
      <c r="F44" s="89"/>
      <c r="G44" s="89"/>
      <c r="H44" s="89"/>
      <c r="I44" s="90"/>
      <c r="J44" s="90"/>
      <c r="K44" s="90"/>
      <c r="L44" s="90"/>
      <c r="M44" s="90"/>
      <c r="N44" s="91"/>
      <c r="O44" s="91"/>
      <c r="P44" s="91"/>
    </row>
    <row r="45" spans="1:16" s="82" customFormat="1" ht="18" customHeight="1" x14ac:dyDescent="0.2">
      <c r="A45" s="86"/>
      <c r="B45" s="202" t="s">
        <v>84</v>
      </c>
      <c r="C45" s="202"/>
      <c r="D45" s="92" t="s">
        <v>33</v>
      </c>
      <c r="E45" s="93" t="s">
        <v>34</v>
      </c>
      <c r="F45" s="93" t="s">
        <v>35</v>
      </c>
      <c r="G45" s="93" t="s">
        <v>36</v>
      </c>
      <c r="H45" s="93" t="s">
        <v>37</v>
      </c>
      <c r="I45" s="90"/>
      <c r="J45" s="90"/>
      <c r="K45" s="90"/>
      <c r="L45" s="90"/>
      <c r="M45" s="90"/>
      <c r="N45" s="91"/>
      <c r="O45" s="91"/>
      <c r="P45" s="91"/>
    </row>
    <row r="46" spans="1:16" s="82" customFormat="1" ht="33" customHeight="1" x14ac:dyDescent="0.2">
      <c r="A46" s="86"/>
      <c r="B46" s="203" t="s">
        <v>38</v>
      </c>
      <c r="C46" s="204"/>
      <c r="D46" s="92" t="s">
        <v>39</v>
      </c>
      <c r="E46" s="94" t="s">
        <v>130</v>
      </c>
      <c r="F46" s="94" t="s">
        <v>22</v>
      </c>
      <c r="G46" s="94" t="s">
        <v>130</v>
      </c>
      <c r="H46" s="94" t="s">
        <v>21</v>
      </c>
      <c r="I46" s="90"/>
      <c r="J46" s="90"/>
      <c r="K46" s="90"/>
      <c r="L46" s="90"/>
      <c r="M46" s="90"/>
      <c r="N46" s="91"/>
      <c r="O46" s="91"/>
      <c r="P46" s="91"/>
    </row>
    <row r="47" spans="1:16" s="86" customFormat="1" ht="52.5" customHeight="1" x14ac:dyDescent="0.25">
      <c r="A47" s="95" t="s">
        <v>40</v>
      </c>
    </row>
    <row r="48" spans="1:16" s="82" customFormat="1" x14ac:dyDescent="0.2">
      <c r="A48" s="96" t="str">
        <f>$B21&amp;CHAR(10)&amp;$A$1</f>
        <v>Landings per kW day at sea (kg)
Area VIIA nephrops under 250kW</v>
      </c>
      <c r="C48" s="96"/>
      <c r="D48" s="96"/>
      <c r="E48" s="96"/>
      <c r="F48" s="96"/>
      <c r="G48" s="96"/>
      <c r="K48" s="96" t="str">
        <f>$B24&amp;CHAR(10)&amp;$A$1</f>
        <v>Operating profit per kW day at sea (£)
Area VIIA nephrops under 250kW</v>
      </c>
    </row>
    <row r="49" spans="1:11" s="82" customFormat="1" x14ac:dyDescent="0.2">
      <c r="A49" s="96" t="str">
        <f>$B22&amp;CHAR(10)&amp;$A$1</f>
        <v>Fishing income per kW day at sea (£)
Area VIIA nephrops under 250kW</v>
      </c>
    </row>
    <row r="50" spans="1:11" s="82" customFormat="1" x14ac:dyDescent="0.2">
      <c r="A50" s="96" t="str">
        <f>$B20&amp;CHAR(10)&amp;$A$1</f>
        <v>Average price per tonne landed (£)
Area VIIA nephrops under 250kW</v>
      </c>
    </row>
    <row r="51" spans="1:11" s="82" customFormat="1" x14ac:dyDescent="0.2"/>
    <row r="52" spans="1:11" s="82" customFormat="1" x14ac:dyDescent="0.2"/>
    <row r="53" spans="1:11" s="82" customFormat="1" x14ac:dyDescent="0.2"/>
    <row r="54" spans="1:11" s="82" customFormat="1" x14ac:dyDescent="0.2"/>
    <row r="55" spans="1:11" s="82" customFormat="1" x14ac:dyDescent="0.2"/>
    <row r="56" spans="1:11" s="82" customFormat="1" x14ac:dyDescent="0.2"/>
    <row r="57" spans="1:11" s="82" customFormat="1" x14ac:dyDescent="0.2"/>
    <row r="58" spans="1:11" s="82" customFormat="1" x14ac:dyDescent="0.2"/>
    <row r="59" spans="1:11" s="82" customFormat="1" x14ac:dyDescent="0.2"/>
    <row r="60" spans="1:11" s="82" customFormat="1" x14ac:dyDescent="0.2"/>
    <row r="61" spans="1:11" s="82" customFormat="1" x14ac:dyDescent="0.2">
      <c r="A61" s="96"/>
      <c r="C61" s="96"/>
      <c r="D61" s="96"/>
      <c r="E61" s="96"/>
    </row>
    <row r="62" spans="1:11" s="82" customFormat="1" x14ac:dyDescent="0.2">
      <c r="B62" s="96" t="str">
        <f>$B23&amp;CHAR(10)&amp;$A$1</f>
        <v>Total cost per kW day at sea (£)
Area VIIA nephrops under 250kW</v>
      </c>
      <c r="F62" s="96" t="str">
        <f>$B20&amp;CHAR(10)&amp;$A$1</f>
        <v>Average price per tonne landed (£)
Area VIIA nephrops under 250kW</v>
      </c>
      <c r="K62" s="96" t="str">
        <f>"Average annual operating profit per vessel (£'000)"&amp;CHAR(10)&amp;$A$1</f>
        <v>Average annual operating profit per vessel (£'000)
Area VIIA nephrops under 250kW</v>
      </c>
    </row>
    <row r="63" spans="1:11" s="82" customFormat="1" x14ac:dyDescent="0.2"/>
    <row r="64" spans="1:11" s="82" customFormat="1" x14ac:dyDescent="0.2"/>
    <row r="65" spans="1:11" s="82" customFormat="1" x14ac:dyDescent="0.2"/>
    <row r="66" spans="1:11" s="82" customFormat="1" x14ac:dyDescent="0.2"/>
    <row r="67" spans="1:11" s="82" customFormat="1" x14ac:dyDescent="0.2"/>
    <row r="68" spans="1:11" s="82" customFormat="1" x14ac:dyDescent="0.2"/>
    <row r="69" spans="1:11" s="82" customFormat="1" x14ac:dyDescent="0.2"/>
    <row r="70" spans="1:11" s="82" customFormat="1" x14ac:dyDescent="0.2"/>
    <row r="71" spans="1:11" s="82" customFormat="1" x14ac:dyDescent="0.2"/>
    <row r="72" spans="1:11" s="82" customFormat="1" x14ac:dyDescent="0.2"/>
    <row r="73" spans="1:11" s="82" customFormat="1" x14ac:dyDescent="0.2"/>
    <row r="74" spans="1:11" s="96" customFormat="1" x14ac:dyDescent="0.2"/>
    <row r="75" spans="1:11" s="96" customFormat="1" x14ac:dyDescent="0.2"/>
    <row r="76" spans="1:11" s="96" customFormat="1" x14ac:dyDescent="0.2">
      <c r="A76" s="96" t="str">
        <f>"Top 5 landed species by volume in "&amp;A77&amp;CHAR(10)&amp;A1</f>
        <v>Top 5 landed species by volume in 2020
Area VIIA nephrops under 250kW</v>
      </c>
      <c r="F76" s="96" t="str">
        <f>"Top 5 landed species by value in "&amp;A77&amp;CHAR(10)&amp;A1</f>
        <v>Top 5 landed species by value in 2020
Area VIIA nephrops under 250kW</v>
      </c>
    </row>
    <row r="77" spans="1:11" s="96" customFormat="1" x14ac:dyDescent="0.2">
      <c r="A77" s="96">
        <v>2020</v>
      </c>
      <c r="B77" s="96" t="s">
        <v>150</v>
      </c>
      <c r="C77" s="97">
        <v>0.83391056011178499</v>
      </c>
      <c r="D77" s="98">
        <v>12153634</v>
      </c>
      <c r="G77" s="96" t="s">
        <v>151</v>
      </c>
      <c r="H77" s="97">
        <v>0.86580090618614092</v>
      </c>
      <c r="I77" s="98">
        <v>12153634</v>
      </c>
      <c r="K77" s="96" t="s">
        <v>87</v>
      </c>
    </row>
    <row r="78" spans="1:11" s="96" customFormat="1" x14ac:dyDescent="0.2">
      <c r="B78" s="96" t="s">
        <v>152</v>
      </c>
      <c r="C78" s="97">
        <v>5.9879531981803506E-2</v>
      </c>
      <c r="D78" s="98">
        <v>553960</v>
      </c>
      <c r="G78" s="96" t="s">
        <v>153</v>
      </c>
      <c r="H78" s="97">
        <v>7.6083963445201686E-2</v>
      </c>
      <c r="I78" s="98">
        <v>553960</v>
      </c>
    </row>
    <row r="79" spans="1:11" s="96" customFormat="1" x14ac:dyDescent="0.2">
      <c r="B79" s="96" t="s">
        <v>154</v>
      </c>
      <c r="C79" s="97">
        <v>3.7990031415127933E-2</v>
      </c>
      <c r="D79" s="98">
        <v>3689192</v>
      </c>
      <c r="G79" s="96" t="s">
        <v>155</v>
      </c>
      <c r="H79" s="97">
        <v>1.366269558355754E-2</v>
      </c>
      <c r="I79" s="98">
        <v>3050596</v>
      </c>
    </row>
    <row r="80" spans="1:11" s="96" customFormat="1" x14ac:dyDescent="0.2">
      <c r="B80" s="96" t="s">
        <v>155</v>
      </c>
      <c r="C80" s="97">
        <v>1.3785865401136386E-2</v>
      </c>
      <c r="D80" s="98">
        <v>3050596</v>
      </c>
      <c r="G80" s="96" t="s">
        <v>156</v>
      </c>
      <c r="H80" s="97">
        <v>5.4309018136455642E-3</v>
      </c>
      <c r="I80" s="98">
        <v>1692097</v>
      </c>
    </row>
    <row r="81" spans="1:19" s="96" customFormat="1" x14ac:dyDescent="0.2">
      <c r="B81" s="96" t="s">
        <v>157</v>
      </c>
      <c r="C81" s="97">
        <v>1.0138880570480511E-2</v>
      </c>
      <c r="D81" s="98">
        <v>11115023</v>
      </c>
      <c r="G81" s="96" t="s">
        <v>158</v>
      </c>
      <c r="H81" s="97">
        <v>5.4188653175316903E-3</v>
      </c>
      <c r="I81" s="98">
        <v>3689192</v>
      </c>
    </row>
    <row r="82" spans="1:19" s="96" customFormat="1" x14ac:dyDescent="0.2">
      <c r="B82" s="96" t="s">
        <v>159</v>
      </c>
      <c r="C82" s="97">
        <v>4.4295130519666714E-2</v>
      </c>
      <c r="D82" s="98">
        <v>5920853</v>
      </c>
      <c r="G82" s="96" t="s">
        <v>160</v>
      </c>
      <c r="H82" s="97">
        <v>3.3602667653922502E-2</v>
      </c>
      <c r="I82" s="98">
        <v>5920853</v>
      </c>
    </row>
    <row r="83" spans="1:19" s="96" customFormat="1" x14ac:dyDescent="0.2"/>
    <row r="84" spans="1:19" s="96" customFormat="1" x14ac:dyDescent="0.2"/>
    <row r="85" spans="1:19" s="96" customFormat="1" x14ac:dyDescent="0.2"/>
    <row r="86" spans="1:19" s="96" customFormat="1" x14ac:dyDescent="0.2"/>
    <row r="87" spans="1:19" s="96" customFormat="1" x14ac:dyDescent="0.2"/>
    <row r="88" spans="1:19" s="96" customFormat="1" x14ac:dyDescent="0.2"/>
    <row r="89" spans="1:19" s="96" customFormat="1" x14ac:dyDescent="0.2">
      <c r="A89" s="99" t="s">
        <v>31</v>
      </c>
      <c r="B89" s="99" t="str">
        <f ca="1">B114&amp;". "&amp;N2&amp;" fishing income based on provisional data from MMO. "&amp;N2&amp;" costs and profits are projections."</f>
        <v>All values are adjusted to 2021 prices. 2021 fishing income based on provisional data from MMO. 2021 costs and profits are projections.</v>
      </c>
      <c r="P89" s="100" t="str">
        <f>P42</f>
        <v>Version: June 2022</v>
      </c>
      <c r="S89" s="96" t="str">
        <f ca="1">B114</f>
        <v>All values are adjusted to 2021 prices</v>
      </c>
    </row>
    <row r="90" spans="1:19" s="101" customFormat="1" x14ac:dyDescent="0.2">
      <c r="B90" s="99" t="s">
        <v>32</v>
      </c>
    </row>
    <row r="91" spans="1:19" s="96" customFormat="1" hidden="1" x14ac:dyDescent="0.2">
      <c r="D91" s="96">
        <v>2012</v>
      </c>
      <c r="E91" s="96">
        <v>2013</v>
      </c>
      <c r="F91" s="96">
        <v>2014</v>
      </c>
      <c r="G91" s="96">
        <v>2015</v>
      </c>
      <c r="H91" s="96">
        <v>2016</v>
      </c>
      <c r="I91" s="96">
        <v>2017</v>
      </c>
      <c r="J91" s="96">
        <v>2018</v>
      </c>
      <c r="K91" s="96">
        <v>2019</v>
      </c>
      <c r="L91" s="96">
        <v>2020</v>
      </c>
      <c r="M91" s="96">
        <v>2021</v>
      </c>
    </row>
    <row r="92" spans="1:19" s="96" customFormat="1" hidden="1" x14ac:dyDescent="0.2">
      <c r="B92" s="96">
        <v>1</v>
      </c>
      <c r="C92" s="96" t="s">
        <v>102</v>
      </c>
      <c r="D92" s="102">
        <v>0.9032060191856186</v>
      </c>
      <c r="E92" s="102">
        <v>0.87362223867882838</v>
      </c>
      <c r="F92" s="102">
        <v>0.90305949853469503</v>
      </c>
      <c r="G92" s="102">
        <v>0.90278331713224658</v>
      </c>
      <c r="H92" s="102">
        <v>0.84235050500163366</v>
      </c>
      <c r="I92" s="102">
        <v>0.83241359367682344</v>
      </c>
      <c r="J92" s="102">
        <v>0.83064250311910492</v>
      </c>
      <c r="K92" s="102">
        <v>0.85010786607480737</v>
      </c>
      <c r="L92" s="102">
        <v>0.86580090618614092</v>
      </c>
      <c r="M92" s="102">
        <v>0.86294067474317782</v>
      </c>
      <c r="O92" s="96">
        <v>12153634</v>
      </c>
    </row>
    <row r="93" spans="1:19" s="96" customFormat="1" hidden="1" x14ac:dyDescent="0.2">
      <c r="B93" s="96">
        <v>2</v>
      </c>
      <c r="C93" s="96" t="s">
        <v>100</v>
      </c>
      <c r="D93" s="102">
        <v>4.7225279783895284E-2</v>
      </c>
      <c r="E93" s="102">
        <v>6.2311719672642353E-2</v>
      </c>
      <c r="F93" s="102">
        <v>6.8313504717746706E-2</v>
      </c>
      <c r="G93" s="102">
        <v>6.9062931124094756E-2</v>
      </c>
      <c r="H93" s="102">
        <v>0.11641502449298242</v>
      </c>
      <c r="I93" s="102">
        <v>8.2874988975500982E-2</v>
      </c>
      <c r="J93" s="102">
        <v>0.10175588599698468</v>
      </c>
      <c r="K93" s="102">
        <v>7.6051398273432505E-2</v>
      </c>
      <c r="L93" s="102">
        <v>7.6083963445201686E-2</v>
      </c>
      <c r="M93" s="102">
        <v>6.8378257111958315E-2</v>
      </c>
      <c r="O93" s="96">
        <v>553960</v>
      </c>
    </row>
    <row r="94" spans="1:19" s="96" customFormat="1" hidden="1" x14ac:dyDescent="0.2">
      <c r="B94" s="96">
        <v>3</v>
      </c>
      <c r="C94" s="96" t="s">
        <v>143</v>
      </c>
      <c r="D94" s="102">
        <v>9.202321175997728E-3</v>
      </c>
      <c r="E94" s="102">
        <v>9.5638870923398702E-3</v>
      </c>
      <c r="F94" s="102">
        <v>7.1671041442173938E-3</v>
      </c>
      <c r="G94" s="102">
        <v>4.9242666298980799E-3</v>
      </c>
      <c r="H94" s="102">
        <v>9.0009472793854562E-3</v>
      </c>
      <c r="I94" s="102">
        <v>1.6754843455143338E-2</v>
      </c>
      <c r="J94" s="102">
        <v>1.7492875569921903E-2</v>
      </c>
      <c r="K94" s="102">
        <v>1.3740184867891189E-2</v>
      </c>
      <c r="L94" s="102">
        <v>1.366269558355754E-2</v>
      </c>
      <c r="M94" s="102">
        <v>1.4443583077225047E-2</v>
      </c>
      <c r="O94" s="96">
        <v>3050596</v>
      </c>
    </row>
    <row r="95" spans="1:19" s="96" customFormat="1" hidden="1" x14ac:dyDescent="0.2">
      <c r="B95" s="96">
        <v>4</v>
      </c>
      <c r="C95" s="96" t="s">
        <v>104</v>
      </c>
      <c r="D95" s="102"/>
      <c r="E95" s="102"/>
      <c r="F95" s="102"/>
      <c r="G95" s="102"/>
      <c r="H95" s="102"/>
      <c r="I95" s="102"/>
      <c r="J95" s="102"/>
      <c r="K95" s="102"/>
      <c r="L95" s="102">
        <v>5.4309018136455642E-3</v>
      </c>
      <c r="M95" s="102"/>
      <c r="O95" s="96">
        <v>1692097</v>
      </c>
    </row>
    <row r="96" spans="1:19" s="96" customFormat="1" hidden="1" x14ac:dyDescent="0.2">
      <c r="B96" s="96">
        <v>5</v>
      </c>
      <c r="C96" s="96" t="s">
        <v>127</v>
      </c>
      <c r="D96" s="102"/>
      <c r="E96" s="102"/>
      <c r="F96" s="102">
        <v>2.9582267272523508E-3</v>
      </c>
      <c r="G96" s="102">
        <v>5.3321319175030383E-3</v>
      </c>
      <c r="H96" s="102"/>
      <c r="I96" s="102"/>
      <c r="J96" s="102"/>
      <c r="K96" s="102"/>
      <c r="L96" s="102">
        <v>5.4188653175316903E-3</v>
      </c>
      <c r="M96" s="102">
        <v>8.8088960152695201E-3</v>
      </c>
      <c r="O96" s="96">
        <v>3689192</v>
      </c>
    </row>
    <row r="97" spans="1:15" s="96" customFormat="1" hidden="1" x14ac:dyDescent="0.2">
      <c r="B97" s="96">
        <v>6</v>
      </c>
      <c r="C97" s="96" t="s">
        <v>144</v>
      </c>
      <c r="D97" s="102"/>
      <c r="E97" s="102"/>
      <c r="F97" s="102"/>
      <c r="G97" s="102"/>
      <c r="H97" s="102"/>
      <c r="I97" s="102"/>
      <c r="J97" s="102"/>
      <c r="K97" s="102"/>
      <c r="L97" s="102"/>
      <c r="M97" s="102">
        <v>7.8164457980821091E-3</v>
      </c>
      <c r="O97" s="96">
        <v>11115023</v>
      </c>
    </row>
    <row r="98" spans="1:15" s="96" customFormat="1" hidden="1" x14ac:dyDescent="0.2">
      <c r="B98" s="96">
        <v>7</v>
      </c>
      <c r="C98" s="96" t="s">
        <v>20</v>
      </c>
      <c r="D98" s="102"/>
      <c r="E98" s="102"/>
      <c r="F98" s="102"/>
      <c r="G98" s="102"/>
      <c r="H98" s="102">
        <v>3.6080946254053543E-3</v>
      </c>
      <c r="I98" s="102">
        <v>1.9500595550144356E-2</v>
      </c>
      <c r="J98" s="102">
        <v>1.1270461610199203E-2</v>
      </c>
      <c r="K98" s="102">
        <v>1.1290873241676436E-2</v>
      </c>
      <c r="L98" s="102"/>
      <c r="M98" s="102"/>
      <c r="O98" s="96">
        <v>2480382</v>
      </c>
    </row>
    <row r="99" spans="1:15" s="96" customFormat="1" hidden="1" x14ac:dyDescent="0.2">
      <c r="B99" s="96">
        <v>8</v>
      </c>
      <c r="C99" s="96" t="s">
        <v>146</v>
      </c>
      <c r="D99" s="102"/>
      <c r="E99" s="102"/>
      <c r="F99" s="102"/>
      <c r="G99" s="102"/>
      <c r="H99" s="102"/>
      <c r="I99" s="102"/>
      <c r="J99" s="102"/>
      <c r="K99" s="102">
        <v>6.4757286780516314E-3</v>
      </c>
      <c r="L99" s="102"/>
      <c r="M99" s="102"/>
      <c r="O99" s="96">
        <v>7434864</v>
      </c>
    </row>
    <row r="100" spans="1:15" s="96" customFormat="1" hidden="1" x14ac:dyDescent="0.2">
      <c r="B100" s="96">
        <v>9</v>
      </c>
      <c r="C100" s="96" t="s">
        <v>105</v>
      </c>
      <c r="D100" s="102">
        <v>1.0185477174296147E-2</v>
      </c>
      <c r="E100" s="102">
        <v>1.533402192904279E-2</v>
      </c>
      <c r="F100" s="102"/>
      <c r="G100" s="102"/>
      <c r="H100" s="102"/>
      <c r="I100" s="102"/>
      <c r="J100" s="102">
        <v>9.138369465403395E-3</v>
      </c>
      <c r="K100" s="102"/>
      <c r="L100" s="102"/>
      <c r="M100" s="102"/>
      <c r="O100" s="96">
        <v>8497745</v>
      </c>
    </row>
    <row r="101" spans="1:15" s="96" customFormat="1" hidden="1" x14ac:dyDescent="0.2">
      <c r="B101" s="96">
        <v>10</v>
      </c>
      <c r="C101" s="96" t="s">
        <v>161</v>
      </c>
      <c r="D101" s="102"/>
      <c r="E101" s="102"/>
      <c r="F101" s="102"/>
      <c r="G101" s="102"/>
      <c r="H101" s="102"/>
      <c r="I101" s="102">
        <v>1.2449452022894953E-2</v>
      </c>
      <c r="J101" s="102"/>
      <c r="K101" s="102"/>
      <c r="L101" s="102"/>
      <c r="M101" s="102"/>
      <c r="O101" s="96">
        <v>14393110</v>
      </c>
    </row>
    <row r="102" spans="1:15" s="96" customFormat="1" hidden="1" x14ac:dyDescent="0.2">
      <c r="B102" s="96">
        <v>11</v>
      </c>
      <c r="C102" s="96" t="s">
        <v>162</v>
      </c>
      <c r="D102" s="102"/>
      <c r="E102" s="102"/>
      <c r="F102" s="102"/>
      <c r="G102" s="102"/>
      <c r="H102" s="102">
        <v>6.6140044958555161E-3</v>
      </c>
      <c r="I102" s="102"/>
      <c r="J102" s="102"/>
      <c r="K102" s="102"/>
      <c r="L102" s="102"/>
      <c r="M102" s="102"/>
      <c r="O102" s="96">
        <v>2887140</v>
      </c>
    </row>
    <row r="103" spans="1:15" s="96" customFormat="1" hidden="1" x14ac:dyDescent="0.2">
      <c r="B103" s="96">
        <v>12</v>
      </c>
      <c r="C103" s="96" t="s">
        <v>106</v>
      </c>
      <c r="D103" s="102">
        <v>5.3794633634969306E-3</v>
      </c>
      <c r="E103" s="102">
        <v>6.2204424265200594E-3</v>
      </c>
      <c r="F103" s="102"/>
      <c r="G103" s="102">
        <v>3.8797037336966785E-3</v>
      </c>
      <c r="H103" s="102"/>
      <c r="I103" s="102"/>
      <c r="J103" s="102"/>
      <c r="K103" s="102"/>
      <c r="L103" s="102"/>
      <c r="M103" s="102"/>
      <c r="O103" s="96">
        <v>15057844</v>
      </c>
    </row>
    <row r="104" spans="1:15" s="96" customFormat="1" hidden="1" x14ac:dyDescent="0.2">
      <c r="B104" s="96">
        <v>13</v>
      </c>
      <c r="C104" s="96" t="s">
        <v>98</v>
      </c>
      <c r="D104" s="102"/>
      <c r="E104" s="102"/>
      <c r="F104" s="102">
        <v>3.8377268953566661E-3</v>
      </c>
      <c r="G104" s="102"/>
      <c r="H104" s="102"/>
      <c r="I104" s="102"/>
      <c r="J104" s="102"/>
      <c r="K104" s="102"/>
      <c r="L104" s="102"/>
      <c r="M104" s="102"/>
      <c r="O104" s="96">
        <v>10603512</v>
      </c>
    </row>
    <row r="105" spans="1:15" s="96" customFormat="1" hidden="1" x14ac:dyDescent="0.2">
      <c r="B105" s="96">
        <v>14</v>
      </c>
      <c r="C105" s="96" t="s">
        <v>107</v>
      </c>
      <c r="D105" s="102">
        <v>2.4801439316695324E-2</v>
      </c>
      <c r="E105" s="102">
        <v>3.294769020062658E-2</v>
      </c>
      <c r="F105" s="102">
        <v>1.4663938980731834E-2</v>
      </c>
      <c r="G105" s="102">
        <v>1.4017649462560849E-2</v>
      </c>
      <c r="H105" s="102">
        <v>2.2011424104737588E-2</v>
      </c>
      <c r="I105" s="102">
        <v>3.6006526319492971E-2</v>
      </c>
      <c r="J105" s="102">
        <v>2.9699904238385859E-2</v>
      </c>
      <c r="K105" s="102">
        <v>4.2333948864140832E-2</v>
      </c>
      <c r="L105" s="102">
        <v>3.3602667653922648E-2</v>
      </c>
      <c r="M105" s="102">
        <v>3.7612143254287168E-2</v>
      </c>
      <c r="O105" s="96">
        <v>5920853</v>
      </c>
    </row>
    <row r="106" spans="1:15" s="96" customFormat="1" hidden="1" x14ac:dyDescent="0.2">
      <c r="B106" s="96">
        <v>15</v>
      </c>
      <c r="D106" s="102"/>
      <c r="E106" s="102"/>
      <c r="F106" s="102"/>
      <c r="G106" s="102"/>
      <c r="H106" s="102"/>
      <c r="I106" s="102"/>
      <c r="J106" s="102"/>
      <c r="K106" s="102"/>
      <c r="L106" s="102"/>
      <c r="M106" s="102"/>
      <c r="O106" s="96">
        <v>10479842</v>
      </c>
    </row>
    <row r="107" spans="1:15" s="96" customFormat="1" hidden="1" x14ac:dyDescent="0.2">
      <c r="B107" s="96">
        <v>16</v>
      </c>
      <c r="D107" s="102"/>
      <c r="E107" s="102"/>
      <c r="F107" s="102"/>
      <c r="G107" s="102"/>
      <c r="H107" s="102"/>
      <c r="I107" s="102"/>
      <c r="J107" s="102"/>
      <c r="K107" s="102"/>
      <c r="L107" s="102"/>
      <c r="M107" s="102"/>
      <c r="O107" s="96">
        <v>5920853</v>
      </c>
    </row>
    <row r="108" spans="1:15" s="96" customFormat="1" hidden="1" x14ac:dyDescent="0.2">
      <c r="B108" s="96">
        <v>17</v>
      </c>
      <c r="D108" s="102"/>
      <c r="E108" s="102"/>
      <c r="F108" s="102"/>
      <c r="G108" s="102"/>
      <c r="H108" s="102"/>
      <c r="I108" s="102"/>
      <c r="J108" s="102"/>
      <c r="K108" s="102"/>
      <c r="L108" s="102"/>
      <c r="M108" s="102"/>
      <c r="O108" s="96">
        <v>0</v>
      </c>
    </row>
    <row r="109" spans="1:15" s="96" customFormat="1" hidden="1" x14ac:dyDescent="0.2">
      <c r="B109" s="96">
        <v>18</v>
      </c>
      <c r="D109" s="102"/>
      <c r="E109" s="102"/>
      <c r="F109" s="102"/>
      <c r="G109" s="102"/>
      <c r="H109" s="102"/>
      <c r="I109" s="102"/>
      <c r="J109" s="102"/>
      <c r="K109" s="102"/>
      <c r="L109" s="102"/>
      <c r="M109" s="102"/>
      <c r="O109" s="96">
        <v>0</v>
      </c>
    </row>
    <row r="110" spans="1:15" s="96" customFormat="1" hidden="1" x14ac:dyDescent="0.2">
      <c r="B110" s="96">
        <v>19</v>
      </c>
      <c r="D110" s="102"/>
      <c r="E110" s="102"/>
      <c r="F110" s="102"/>
      <c r="G110" s="102"/>
      <c r="H110" s="102"/>
      <c r="I110" s="102"/>
      <c r="J110" s="102"/>
      <c r="K110" s="102"/>
      <c r="L110" s="102"/>
      <c r="M110" s="102"/>
      <c r="O110" s="96">
        <v>0</v>
      </c>
    </row>
    <row r="111" spans="1:15" s="96" customFormat="1" hidden="1" x14ac:dyDescent="0.2">
      <c r="A111" s="96">
        <v>15</v>
      </c>
      <c r="B111" s="96">
        <v>20</v>
      </c>
      <c r="D111" s="102"/>
      <c r="E111" s="102"/>
      <c r="F111" s="102"/>
      <c r="G111" s="102"/>
      <c r="H111" s="102"/>
      <c r="I111" s="102"/>
      <c r="J111" s="102"/>
      <c r="K111" s="102"/>
      <c r="L111" s="102"/>
      <c r="M111" s="102"/>
      <c r="O111" s="96">
        <v>0</v>
      </c>
    </row>
    <row r="112" spans="1:15" s="96" customFormat="1" hidden="1" x14ac:dyDescent="0.2">
      <c r="A112" s="96" t="s">
        <v>41</v>
      </c>
      <c r="C112" s="103" t="s">
        <v>23</v>
      </c>
      <c r="D112" s="104">
        <v>1</v>
      </c>
      <c r="E112" s="104">
        <v>1</v>
      </c>
      <c r="F112" s="104">
        <v>1</v>
      </c>
      <c r="G112" s="104">
        <v>1</v>
      </c>
      <c r="H112" s="104">
        <v>1</v>
      </c>
      <c r="I112" s="104">
        <v>1</v>
      </c>
      <c r="J112" s="104">
        <v>1</v>
      </c>
      <c r="K112" s="104">
        <v>1</v>
      </c>
      <c r="L112" s="104">
        <v>1</v>
      </c>
      <c r="M112" s="104">
        <v>1</v>
      </c>
      <c r="N112" s="104">
        <v>1</v>
      </c>
      <c r="O112" s="104"/>
    </row>
    <row r="113" spans="1:15" s="96" customFormat="1" hidden="1" x14ac:dyDescent="0.2">
      <c r="A113" s="96" t="s">
        <v>42</v>
      </c>
      <c r="C113" s="103" t="s">
        <v>43</v>
      </c>
      <c r="D113" s="105">
        <v>0.82830207997472105</v>
      </c>
      <c r="E113" s="105">
        <v>0.84163775114942574</v>
      </c>
      <c r="F113" s="105">
        <v>0.8604904349146667</v>
      </c>
      <c r="G113" s="105">
        <v>0.87425829546338474</v>
      </c>
      <c r="H113" s="105">
        <v>0.87871698539161214</v>
      </c>
      <c r="I113" s="105">
        <v>0.89541263811225669</v>
      </c>
      <c r="J113" s="105">
        <v>0.91170919256081928</v>
      </c>
      <c r="K113" s="105">
        <v>0.92994339372050494</v>
      </c>
      <c r="L113" s="105">
        <v>0.94872826366670138</v>
      </c>
      <c r="M113" s="105">
        <v>0.99920067779589561</v>
      </c>
      <c r="N113" s="105">
        <v>1</v>
      </c>
      <c r="O113" s="104"/>
    </row>
    <row r="114" spans="1:15" s="101" customFormat="1" x14ac:dyDescent="0.2">
      <c r="B114" s="101" t="str">
        <f ca="1">"All values are "&amp;OFFSET($A$111,MATCH($N$1,$C$112:$C$113,0),0)</f>
        <v>All values are adjusted to 2021 prices</v>
      </c>
      <c r="F114" s="101" t="str">
        <f ca="1">S89&amp;". "&amp;B160&amp;""</f>
        <v>All values are adjusted to 2021 prices. Quartiles are based on operating profit margin.</v>
      </c>
    </row>
    <row r="115" spans="1:15" s="107" customFormat="1" ht="34.5" customHeight="1" x14ac:dyDescent="0.25">
      <c r="A115" s="106" t="s">
        <v>44</v>
      </c>
    </row>
    <row r="116" spans="1:15" s="108" customFormat="1" ht="15" customHeight="1" x14ac:dyDescent="0.2"/>
    <row r="117" spans="1:15" s="108" customFormat="1" x14ac:dyDescent="0.2"/>
    <row r="118" spans="1:15" ht="18" customHeight="1" thickBot="1" x14ac:dyDescent="0.25"/>
    <row r="119" spans="1:15" ht="39" thickBot="1" x14ac:dyDescent="0.25">
      <c r="A119" s="22"/>
      <c r="B119" s="23" t="s">
        <v>25</v>
      </c>
      <c r="C119" s="54" t="s">
        <v>45</v>
      </c>
      <c r="D119" s="54" t="s">
        <v>46</v>
      </c>
      <c r="E119" s="54" t="s">
        <v>47</v>
      </c>
      <c r="F119" s="55" t="s">
        <v>48</v>
      </c>
    </row>
    <row r="120" spans="1:15" s="56" customFormat="1" ht="18" customHeight="1" x14ac:dyDescent="0.2">
      <c r="B120" s="56" t="s">
        <v>54</v>
      </c>
      <c r="C120" s="56">
        <v>9</v>
      </c>
      <c r="D120" s="56">
        <v>18</v>
      </c>
      <c r="E120" s="56">
        <v>9</v>
      </c>
      <c r="F120" s="57">
        <v>31</v>
      </c>
    </row>
    <row r="121" spans="1:15" ht="18" customHeight="1" x14ac:dyDescent="0.2">
      <c r="A121" s="194" t="s">
        <v>27</v>
      </c>
      <c r="B121" s="35" t="s">
        <v>62</v>
      </c>
      <c r="C121" s="58">
        <v>14.577777862548828</v>
      </c>
      <c r="D121" s="58">
        <v>14.891666412353516</v>
      </c>
      <c r="E121" s="58">
        <v>16.610000610351563</v>
      </c>
      <c r="F121" s="59">
        <v>15.042902946472168</v>
      </c>
    </row>
    <row r="122" spans="1:15" ht="18" customHeight="1" x14ac:dyDescent="0.2">
      <c r="A122" s="195"/>
      <c r="B122" s="37" t="s">
        <v>55</v>
      </c>
      <c r="C122" s="60">
        <v>186.88888549804688</v>
      </c>
      <c r="D122" s="60">
        <v>168.27777099609375</v>
      </c>
      <c r="E122" s="60">
        <v>202.88888549804688</v>
      </c>
      <c r="F122" s="61">
        <v>173.16128540039063</v>
      </c>
    </row>
    <row r="123" spans="1:15" ht="18" customHeight="1" x14ac:dyDescent="0.2">
      <c r="A123" s="195"/>
      <c r="B123" s="37" t="s">
        <v>56</v>
      </c>
      <c r="C123" s="60">
        <v>47.111110687255859</v>
      </c>
      <c r="D123" s="60">
        <v>37.388889312744141</v>
      </c>
      <c r="E123" s="60">
        <v>49.555557250976563</v>
      </c>
      <c r="F123" s="61">
        <v>43.516128540039063</v>
      </c>
    </row>
    <row r="124" spans="1:15" ht="18" customHeight="1" x14ac:dyDescent="0.2">
      <c r="A124" s="195"/>
      <c r="B124" s="37" t="s">
        <v>57</v>
      </c>
      <c r="C124" s="60">
        <v>161.08882141113281</v>
      </c>
      <c r="D124" s="60">
        <v>154.09590148925781</v>
      </c>
      <c r="E124" s="60">
        <v>184.01004028320313</v>
      </c>
      <c r="F124" s="61">
        <v>158.87631225585938</v>
      </c>
    </row>
    <row r="125" spans="1:15" ht="18" customHeight="1" x14ac:dyDescent="0.2">
      <c r="A125" s="195"/>
      <c r="B125" s="37" t="s">
        <v>58</v>
      </c>
      <c r="C125" s="33">
        <v>111.41704559326172</v>
      </c>
      <c r="D125" s="33">
        <v>71.502927780151367</v>
      </c>
      <c r="E125" s="33">
        <v>60.160167694091797</v>
      </c>
      <c r="F125" s="62">
        <v>72.650382995605469</v>
      </c>
    </row>
    <row r="126" spans="1:15" ht="18" customHeight="1" x14ac:dyDescent="0.2">
      <c r="A126" s="195"/>
      <c r="B126" s="37" t="s">
        <v>63</v>
      </c>
      <c r="C126" s="33">
        <f ca="1">257.8569375*OFFSET($L$112,MATCH($N$1,$C$112:$C$113,0)-1,0)</f>
        <v>257.85693750000002</v>
      </c>
      <c r="D126" s="33">
        <f ca="1">168.8272265625*OFFSET($L$112,MATCH($N$1,$C$112:$C$113,0)-1,0)</f>
        <v>168.82722656249999</v>
      </c>
      <c r="E126" s="33">
        <f ca="1">146.464625*OFFSET($L$112,MATCH($N$1,$C$112:$C$113,0)-1,0)</f>
        <v>146.46462500000001</v>
      </c>
      <c r="F126" s="62">
        <f ca="1">128.0419609375*OFFSET($L$112,MATCH($N$1,$C$112:$C$113,0)-1,0)</f>
        <v>128.04196093749999</v>
      </c>
    </row>
    <row r="127" spans="1:15" ht="18" customHeight="1" x14ac:dyDescent="0.2">
      <c r="A127" s="195"/>
      <c r="B127" s="37" t="s">
        <v>60</v>
      </c>
      <c r="C127" s="60">
        <v>121.88888549804688</v>
      </c>
      <c r="D127" s="60">
        <v>126.72222137451172</v>
      </c>
      <c r="E127" s="60">
        <v>114.66666412353516</v>
      </c>
      <c r="F127" s="61">
        <v>102.90322875976563</v>
      </c>
    </row>
    <row r="128" spans="1:15" ht="18" customHeight="1" x14ac:dyDescent="0.2">
      <c r="A128" s="195"/>
      <c r="B128" s="37" t="s">
        <v>64</v>
      </c>
      <c r="C128" s="60">
        <v>32.125</v>
      </c>
      <c r="D128" s="60">
        <v>43.111110687255859</v>
      </c>
      <c r="E128" s="60">
        <v>43.444442749023438</v>
      </c>
      <c r="F128" s="61">
        <v>41.870967864990234</v>
      </c>
    </row>
    <row r="129" spans="1:15" ht="18" customHeight="1" x14ac:dyDescent="0.2">
      <c r="A129" s="195"/>
      <c r="B129" s="37" t="s">
        <v>65</v>
      </c>
      <c r="C129" s="63">
        <v>0.91408699750900269</v>
      </c>
      <c r="D129" s="63">
        <v>0.56424932426676289</v>
      </c>
      <c r="E129" s="63">
        <v>0.52465265989303589</v>
      </c>
      <c r="F129" s="64">
        <v>0.70600682497024536</v>
      </c>
    </row>
    <row r="130" spans="1:15" ht="18" customHeight="1" x14ac:dyDescent="0.2">
      <c r="A130" s="196"/>
      <c r="B130" s="39" t="s">
        <v>28</v>
      </c>
      <c r="C130" s="40">
        <f ca="1">2314.34010951368*OFFSET($L$112,MATCH($N$1,$C$112:$C$113,0)-1,0)</f>
        <v>2314.3401095136801</v>
      </c>
      <c r="D130" s="40">
        <f ca="1">2361.12326870852*OFFSET($L$112,MATCH($N$1,$C$112:$C$113,0)-1,0)</f>
        <v>2361.1232687085198</v>
      </c>
      <c r="E130" s="40">
        <f ca="1">2434.57807073872*OFFSET($L$112,MATCH($N$1,$C$112:$C$113,0)-1,0)</f>
        <v>2434.5780707387198</v>
      </c>
      <c r="F130" s="65">
        <f ca="1">1762*OFFSET($L$112,MATCH($N$1,$C$112:$C$113,0)-1,0)</f>
        <v>1762</v>
      </c>
    </row>
    <row r="131" spans="1:15" ht="18" customHeight="1" x14ac:dyDescent="0.2">
      <c r="A131" s="205" t="s">
        <v>29</v>
      </c>
      <c r="B131" s="35" t="s">
        <v>66</v>
      </c>
      <c r="C131" s="66">
        <v>4.9090086160716595</v>
      </c>
      <c r="D131" s="66">
        <v>3.22761314375387</v>
      </c>
      <c r="E131" s="66">
        <v>2.4869392405523456</v>
      </c>
      <c r="F131" s="67">
        <v>3.866923438686745</v>
      </c>
    </row>
    <row r="132" spans="1:15" ht="18" customHeight="1" x14ac:dyDescent="0.2">
      <c r="A132" s="206"/>
      <c r="B132" s="37" t="s">
        <v>67</v>
      </c>
      <c r="C132" s="63">
        <f ca="1">11.3611155381229*OFFSET($L$112,MATCH($N$1,$C$112:$C$113,0)-1,0)</f>
        <v>11.361115538122901</v>
      </c>
      <c r="D132" s="63">
        <f ca="1">7.62079249610671*OFFSET($L$112,MATCH($N$1,$C$112:$C$113,0)-1,0)</f>
        <v>7.6207924961067102</v>
      </c>
      <c r="E132" s="63">
        <f ca="1">6.05464773830835*OFFSET($L$112,MATCH($N$1,$C$112:$C$113,0)-1,0)</f>
        <v>6.0546477383083497</v>
      </c>
      <c r="F132" s="64">
        <f ca="1">6.81522160612121*OFFSET($L$112,MATCH($N$1,$C$112:$C$113,0)-1,0)</f>
        <v>6.8152216061212103</v>
      </c>
    </row>
    <row r="133" spans="1:15" ht="18" customHeight="1" x14ac:dyDescent="0.2">
      <c r="A133" s="206"/>
      <c r="B133" s="37" t="s">
        <v>11</v>
      </c>
      <c r="C133" s="63">
        <f ca="1">8.94243110068516*OFFSET($L$112,MATCH($N$1,$C$112:$C$113,0)-1,0)</f>
        <v>8.9424311006851607</v>
      </c>
      <c r="D133" s="63">
        <f ca="1">6.42141655099646*OFFSET($L$112,MATCH($N$1,$C$112:$C$113,0)-1,0)</f>
        <v>6.4214165509964598</v>
      </c>
      <c r="E133" s="63">
        <f ca="1">5.41729483360715*OFFSET($L$112,MATCH($N$1,$C$112:$C$113,0)-1,0)</f>
        <v>5.4172948336071496</v>
      </c>
      <c r="F133" s="64">
        <f ca="1">4.66031033111231*OFFSET($L$112,MATCH($N$1,$C$112:$C$113,0)-1,0)</f>
        <v>4.66031033111231</v>
      </c>
    </row>
    <row r="134" spans="1:15" ht="18" customHeight="1" x14ac:dyDescent="0.2">
      <c r="A134" s="207"/>
      <c r="B134" s="39" t="s">
        <v>12</v>
      </c>
      <c r="C134" s="68">
        <f ca="1">2.41868443743772*OFFSET($L$112,MATCH($N$1,$C$112:$C$113,0)-1,0)</f>
        <v>2.4186844374377201</v>
      </c>
      <c r="D134" s="68">
        <f ca="1">1.19937594511025*OFFSET($L$112,MATCH($N$1,$C$112:$C$113,0)-1,0)</f>
        <v>1.1993759451102499</v>
      </c>
      <c r="E134" s="68">
        <f ca="1">0.637352904701204*OFFSET($L$112,MATCH($N$1,$C$112:$C$113,0)-1,0)</f>
        <v>0.63735290470120398</v>
      </c>
      <c r="F134" s="69">
        <f ca="1">2.1549112750089*OFFSET($L$112,MATCH($N$1,$C$112:$C$113,0)-1,0)</f>
        <v>2.1549112750088999</v>
      </c>
    </row>
    <row r="135" spans="1:15" ht="18" customHeight="1" x14ac:dyDescent="0.2">
      <c r="A135" s="208" t="s">
        <v>49</v>
      </c>
      <c r="B135" s="37" t="s">
        <v>109</v>
      </c>
      <c r="C135" s="70">
        <f ca="1">20.87832421875*OFFSET($L$112,MATCH($N$1,$C$112:$C$113,0)-1,0)</f>
        <v>20.878324218749999</v>
      </c>
      <c r="D135" s="70">
        <f ca="1">23.0412177734375*OFFSET($L$112,MATCH($N$1,$C$112:$C$113,0)-1,0)</f>
        <v>23.041217773437499</v>
      </c>
      <c r="E135" s="70">
        <f ca="1">27.622265625*OFFSET($L$112,MATCH($N$1,$C$112:$C$113,0)-1,0)</f>
        <v>27.622265625000001</v>
      </c>
      <c r="F135" s="71">
        <f ca="1">14.1671513671875*OFFSET($L$112,MATCH($N$1,$C$112:$C$113,0)-1,0)</f>
        <v>14.1671513671875</v>
      </c>
    </row>
    <row r="136" spans="1:15" ht="18" customHeight="1" x14ac:dyDescent="0.2">
      <c r="A136" s="209"/>
      <c r="B136" s="37" t="s">
        <v>110</v>
      </c>
      <c r="C136" s="31">
        <v>39935.553478193469</v>
      </c>
      <c r="D136" s="31">
        <v>44083.332299170084</v>
      </c>
      <c r="E136" s="31">
        <v>52889.998826980591</v>
      </c>
      <c r="F136" s="72">
        <v>38968.387096774197</v>
      </c>
    </row>
    <row r="137" spans="1:15" ht="18" customHeight="1" x14ac:dyDescent="0.2">
      <c r="A137" s="209"/>
      <c r="B137" s="37" t="s">
        <v>111</v>
      </c>
      <c r="C137" s="31">
        <v>327.63900756835938</v>
      </c>
      <c r="D137" s="31">
        <v>347.87373375414006</v>
      </c>
      <c r="E137" s="31">
        <v>461.25</v>
      </c>
      <c r="F137" s="72">
        <v>378.68966674804688</v>
      </c>
    </row>
    <row r="138" spans="1:15" ht="18" customHeight="1" x14ac:dyDescent="0.2">
      <c r="A138" s="209"/>
      <c r="B138" s="37" t="s">
        <v>112</v>
      </c>
      <c r="C138" s="31">
        <f ca="1">171.289811482316*OFFSET($L$112,MATCH($N$1,$C$112:$C$113,0)-1,0)</f>
        <v>171.289811482316</v>
      </c>
      <c r="D138" s="31">
        <f ca="1">181.82460442626*OFFSET($L$112,MATCH($N$1,$C$112:$C$113,0)-1,0)</f>
        <v>181.82460442626001</v>
      </c>
      <c r="E138" s="31">
        <f ca="1">240.891856723427*OFFSET($L$112,MATCH($N$1,$C$112:$C$113,0)-1,0)</f>
        <v>240.891856723427</v>
      </c>
      <c r="F138" s="72">
        <f ca="1">137.674507767503*OFFSET($L$112,MATCH($N$1,$C$112:$C$113,0)-1,0)</f>
        <v>137.674507767503</v>
      </c>
      <c r="I138" s="48"/>
      <c r="L138" s="73" t="str">
        <f>C119</f>
        <v>Most
profitable
quartile</v>
      </c>
      <c r="M138" s="73" t="str">
        <f>D119</f>
        <v>Middle
two quartiles</v>
      </c>
      <c r="N138" s="73" t="str">
        <f>E119</f>
        <v>Least
profitable
quartile</v>
      </c>
      <c r="O138" s="73"/>
    </row>
    <row r="139" spans="1:15" ht="18" customHeight="1" x14ac:dyDescent="0.2">
      <c r="A139" s="209"/>
      <c r="B139" s="37" t="s">
        <v>113</v>
      </c>
      <c r="C139" s="31">
        <f ca="1">187.388959270813*OFFSET($L$112,MATCH($N$1,$C$112:$C$113,0)-1,0)</f>
        <v>187.38895927081299</v>
      </c>
      <c r="D139" s="31">
        <f ca="1">322.241598893431*OFFSET($L$112,MATCH($N$1,$C$112:$C$113,0)-1,0)</f>
        <v>322.24159889343099</v>
      </c>
      <c r="E139" s="31">
        <f ca="1">459.145422689916*OFFSET($L$112,MATCH($N$1,$C$112:$C$113,0)-1,0)</f>
        <v>459.14542268991602</v>
      </c>
      <c r="F139" s="72">
        <f ca="1">195.004496645867*OFFSET($L$112,MATCH($N$1,$C$112:$C$113,0)-1,0)</f>
        <v>195.00449664586699</v>
      </c>
      <c r="I139" s="48"/>
      <c r="K139" s="73" t="s">
        <v>114</v>
      </c>
      <c r="L139" s="74">
        <f t="shared" ref="L139:M141" ca="1" si="2">C140</f>
        <v>259.41579687500001</v>
      </c>
      <c r="M139" s="74">
        <f t="shared" ca="1" si="2"/>
        <v>169.84785937500001</v>
      </c>
      <c r="N139" s="74">
        <f ca="1">E140</f>
        <v>147.35007812500001</v>
      </c>
      <c r="O139" s="74"/>
    </row>
    <row r="140" spans="1:15" ht="18" customHeight="1" x14ac:dyDescent="0.2">
      <c r="A140" s="187" t="s">
        <v>50</v>
      </c>
      <c r="B140" s="35" t="s">
        <v>115</v>
      </c>
      <c r="C140" s="75">
        <f ca="1">259.415796875*OFFSET($L$112,MATCH($N$1,$C$112:$C$113,0)-1,0)</f>
        <v>259.41579687500001</v>
      </c>
      <c r="D140" s="75">
        <f ca="1">169.847859375*OFFSET($L$112,MATCH($N$1,$C$112:$C$113,0)-1,0)</f>
        <v>169.84785937500001</v>
      </c>
      <c r="E140" s="75">
        <f ca="1">147.350078125*OFFSET($L$112,MATCH($N$1,$C$112:$C$113,0)-1,0)</f>
        <v>147.35007812500001</v>
      </c>
      <c r="F140" s="76">
        <f ca="1">146.849578125*OFFSET($L$112,MATCH($N$1,$C$112:$C$113,0)-1,0)</f>
        <v>146.84957812499999</v>
      </c>
      <c r="I140" s="48"/>
      <c r="K140" s="73" t="s">
        <v>116</v>
      </c>
      <c r="L140" s="74">
        <f t="shared" ca="1" si="2"/>
        <v>204.52025</v>
      </c>
      <c r="M140" s="74">
        <f t="shared" ca="1" si="2"/>
        <v>143.277484375</v>
      </c>
      <c r="N140" s="74">
        <f ca="1">E141</f>
        <v>131.93223437500001</v>
      </c>
      <c r="O140" s="74"/>
    </row>
    <row r="141" spans="1:15" ht="18" customHeight="1" x14ac:dyDescent="0.2">
      <c r="A141" s="188"/>
      <c r="B141" s="37" t="s">
        <v>117</v>
      </c>
      <c r="C141" s="31">
        <f ca="1">204.52025*OFFSET($L$112,MATCH($N$1,$C$112:$C$113,0)-1,0)</f>
        <v>204.52025</v>
      </c>
      <c r="D141" s="31">
        <f ca="1">143.277484375*OFFSET($L$112,MATCH($N$1,$C$112:$C$113,0)-1,0)</f>
        <v>143.277484375</v>
      </c>
      <c r="E141" s="31">
        <f ca="1">131.932234375*OFFSET($L$112,MATCH($N$1,$C$112:$C$113,0)-1,0)</f>
        <v>131.93223437500001</v>
      </c>
      <c r="F141" s="72">
        <f ca="1">106.363875*OFFSET($L$112,MATCH($N$1,$C$112:$C$113,0)-1,0)</f>
        <v>106.36387499999999</v>
      </c>
      <c r="I141" s="48"/>
      <c r="K141" s="73" t="s">
        <v>118</v>
      </c>
      <c r="L141" s="74">
        <f t="shared" ca="1" si="2"/>
        <v>54.895546875000001</v>
      </c>
      <c r="M141" s="74">
        <f t="shared" ca="1" si="2"/>
        <v>26.570374999999999</v>
      </c>
      <c r="N141" s="74">
        <f ca="1">E142</f>
        <v>15.417843749999999</v>
      </c>
      <c r="O141" s="74"/>
    </row>
    <row r="142" spans="1:15" ht="18" customHeight="1" x14ac:dyDescent="0.2">
      <c r="A142" s="189"/>
      <c r="B142" s="39" t="s">
        <v>119</v>
      </c>
      <c r="C142" s="40">
        <f ca="1">54.895546875*OFFSET($L$112,MATCH($N$1,$C$112:$C$113,0)-1,0)</f>
        <v>54.895546875000001</v>
      </c>
      <c r="D142" s="40">
        <f ca="1">26.570375*OFFSET($L$112,MATCH($N$1,$C$112:$C$113,0)-1,0)</f>
        <v>26.570374999999999</v>
      </c>
      <c r="E142" s="40">
        <f ca="1">15.41784375*OFFSET($L$112,MATCH($N$1,$C$112:$C$113,0)-1,0)</f>
        <v>15.417843749999999</v>
      </c>
      <c r="F142" s="65">
        <f ca="1">40.48570703125*OFFSET($L$112,MATCH($N$1,$C$112:$C$113,0)-1,0)</f>
        <v>40.485707031250001</v>
      </c>
      <c r="I142" s="48"/>
      <c r="K142" s="73" t="s">
        <v>120</v>
      </c>
      <c r="L142" s="77">
        <f ca="1">IFERROR(L140/L$139,"")</f>
        <v>0.78838780237638528</v>
      </c>
      <c r="M142" s="77">
        <f t="shared" ref="M142:N143" ca="1" si="3">IFERROR(M140/M$139,"")</f>
        <v>0.84356367458634618</v>
      </c>
      <c r="N142" s="77">
        <f t="shared" ca="1" si="3"/>
        <v>0.89536589361750629</v>
      </c>
      <c r="O142" s="77"/>
    </row>
    <row r="143" spans="1:15" ht="18" customHeight="1" x14ac:dyDescent="0.2">
      <c r="I143" s="48"/>
      <c r="K143" s="73" t="s">
        <v>121</v>
      </c>
      <c r="L143" s="77">
        <f ca="1">IFERROR(L141/L$139,"")</f>
        <v>0.21161219762361475</v>
      </c>
      <c r="M143" s="77">
        <f t="shared" ca="1" si="3"/>
        <v>0.15643632541365374</v>
      </c>
      <c r="N143" s="77">
        <f t="shared" ca="1" si="3"/>
        <v>0.10463410638249364</v>
      </c>
      <c r="O143" s="77"/>
    </row>
    <row r="144" spans="1:15" ht="18" customHeight="1" x14ac:dyDescent="0.2">
      <c r="I144" s="48"/>
    </row>
    <row r="145" spans="1:19" ht="18" customHeight="1" x14ac:dyDescent="0.2">
      <c r="I145" s="48"/>
    </row>
    <row r="146" spans="1:19" ht="18" customHeight="1" x14ac:dyDescent="0.2">
      <c r="I146" s="48"/>
    </row>
    <row r="147" spans="1:19" ht="18" customHeight="1" x14ac:dyDescent="0.2">
      <c r="I147" s="48"/>
    </row>
    <row r="148" spans="1:19" ht="18" customHeight="1" x14ac:dyDescent="0.2">
      <c r="I148" s="48"/>
    </row>
    <row r="149" spans="1:19" ht="18" customHeight="1" x14ac:dyDescent="0.2">
      <c r="I149" s="48"/>
    </row>
    <row r="150" spans="1:19" ht="18" customHeight="1" x14ac:dyDescent="0.2">
      <c r="I150" s="48"/>
      <c r="J150" s="48"/>
      <c r="K150" s="48"/>
      <c r="L150" s="48"/>
      <c r="M150" s="48"/>
      <c r="N150" s="48"/>
      <c r="O150" s="48"/>
      <c r="P150" s="48"/>
    </row>
    <row r="151" spans="1:19" ht="18" customHeight="1" x14ac:dyDescent="0.2">
      <c r="I151" s="48"/>
      <c r="J151" s="48"/>
      <c r="K151" s="48"/>
      <c r="L151" s="48"/>
      <c r="M151" s="48"/>
      <c r="N151" s="48"/>
      <c r="O151" s="48"/>
      <c r="P151" s="48"/>
    </row>
    <row r="152" spans="1:19" ht="18" customHeight="1" x14ac:dyDescent="0.2">
      <c r="A152" s="50" t="s">
        <v>31</v>
      </c>
      <c r="B152" s="50" t="str">
        <f ca="1">F114</f>
        <v>All values are adjusted to 2021 prices. Quartiles are based on operating profit margin.</v>
      </c>
      <c r="P152" s="51" t="str">
        <f>P89</f>
        <v>Version: June 2022</v>
      </c>
    </row>
    <row r="153" spans="1:19" ht="18" customHeight="1" x14ac:dyDescent="0.2">
      <c r="A153" s="48"/>
      <c r="B153" s="50" t="s">
        <v>32</v>
      </c>
    </row>
    <row r="154" spans="1:19" ht="18" customHeight="1" x14ac:dyDescent="0.2"/>
    <row r="155" spans="1:19" ht="18" customHeight="1" x14ac:dyDescent="0.2"/>
    <row r="156" spans="1:19" ht="18" customHeight="1" x14ac:dyDescent="0.2"/>
    <row r="157" spans="1:19" s="52" customFormat="1" ht="18" customHeight="1" x14ac:dyDescent="0.2"/>
    <row r="158" spans="1:19" s="52" customFormat="1" ht="18" customHeight="1" x14ac:dyDescent="0.2">
      <c r="A158" s="48"/>
      <c r="B158" s="48"/>
      <c r="C158" s="48"/>
      <c r="D158" s="48"/>
      <c r="E158" s="48"/>
      <c r="F158" s="48"/>
      <c r="G158" s="48"/>
      <c r="H158" s="48"/>
      <c r="I158" s="48"/>
      <c r="J158" s="48"/>
      <c r="K158" s="48"/>
      <c r="L158" s="48"/>
      <c r="M158" s="48"/>
      <c r="N158" s="48"/>
      <c r="O158" s="48"/>
      <c r="P158" s="48"/>
      <c r="Q158" s="48"/>
    </row>
    <row r="159" spans="1:19" s="52" customFormat="1" x14ac:dyDescent="0.2">
      <c r="A159" s="48"/>
      <c r="B159" s="48"/>
      <c r="C159" s="48"/>
      <c r="D159" s="48"/>
      <c r="E159" s="48"/>
      <c r="F159" s="48"/>
      <c r="G159" s="48"/>
      <c r="H159" s="48"/>
      <c r="I159" s="48"/>
      <c r="J159" s="48"/>
      <c r="K159" s="48"/>
      <c r="L159" s="48"/>
      <c r="M159" s="48"/>
      <c r="N159" s="48"/>
      <c r="O159" s="48"/>
      <c r="P159" s="48"/>
      <c r="Q159" s="48"/>
      <c r="R159" s="21"/>
      <c r="S159" s="21"/>
    </row>
    <row r="160" spans="1:19" s="48" customFormat="1" x14ac:dyDescent="0.2">
      <c r="B160" s="48" t="s">
        <v>51</v>
      </c>
      <c r="R160" s="21"/>
      <c r="S160" s="21"/>
    </row>
    <row r="161" spans="1:19" s="48" customFormat="1" ht="45" x14ac:dyDescent="0.2">
      <c r="A161" s="49">
        <v>10</v>
      </c>
      <c r="B161" s="53"/>
      <c r="C161" s="78" t="s">
        <v>45</v>
      </c>
      <c r="D161" s="78" t="s">
        <v>122</v>
      </c>
      <c r="E161" s="78" t="s">
        <v>47</v>
      </c>
      <c r="F161" s="78" t="s">
        <v>123</v>
      </c>
      <c r="G161" s="79">
        <v>11</v>
      </c>
      <c r="H161" s="78"/>
      <c r="I161" s="78" t="s">
        <v>45</v>
      </c>
      <c r="J161" s="78" t="s">
        <v>122</v>
      </c>
      <c r="K161" s="78" t="s">
        <v>47</v>
      </c>
      <c r="L161" s="53" t="s">
        <v>123</v>
      </c>
      <c r="R161" s="21"/>
      <c r="S161" s="21"/>
    </row>
    <row r="162" spans="1:19" s="48" customFormat="1" x14ac:dyDescent="0.2">
      <c r="A162" s="49">
        <v>1</v>
      </c>
      <c r="B162" s="53" t="s">
        <v>102</v>
      </c>
      <c r="C162" s="53">
        <v>0.21481650986371023</v>
      </c>
      <c r="D162" s="53">
        <v>0.88761495379634581</v>
      </c>
      <c r="E162" s="53">
        <v>0.72670481046636937</v>
      </c>
      <c r="F162" s="49">
        <v>12153634</v>
      </c>
      <c r="G162" s="49">
        <v>1</v>
      </c>
      <c r="H162" s="53" t="s">
        <v>102</v>
      </c>
      <c r="I162" s="53">
        <v>0.18556525325250581</v>
      </c>
      <c r="J162" s="53">
        <v>0.91076249012895394</v>
      </c>
      <c r="K162" s="53">
        <v>0.72793107687632996</v>
      </c>
      <c r="L162" s="49">
        <v>12153634</v>
      </c>
      <c r="R162" s="21"/>
      <c r="S162" s="21"/>
    </row>
    <row r="163" spans="1:19" s="48" customFormat="1" x14ac:dyDescent="0.2">
      <c r="A163" s="49">
        <v>2</v>
      </c>
      <c r="B163" s="53" t="s">
        <v>100</v>
      </c>
      <c r="C163" s="53">
        <v>1.0706520535011265E-2</v>
      </c>
      <c r="D163" s="53">
        <v>3.3163742018898469E-2</v>
      </c>
      <c r="E163" s="53">
        <v>0.12090631001543319</v>
      </c>
      <c r="F163" s="49">
        <v>553960</v>
      </c>
      <c r="G163" s="49">
        <v>2</v>
      </c>
      <c r="H163" s="53" t="s">
        <v>100</v>
      </c>
      <c r="I163" s="53">
        <v>1.0931599265837181E-2</v>
      </c>
      <c r="J163" s="53">
        <v>4.2760566644836712E-2</v>
      </c>
      <c r="K163" s="53">
        <v>0.1426456205390029</v>
      </c>
      <c r="L163" s="49">
        <v>553960</v>
      </c>
      <c r="N163" s="48" t="s">
        <v>124</v>
      </c>
      <c r="R163" s="21"/>
      <c r="S163" s="21"/>
    </row>
    <row r="164" spans="1:19" s="48" customFormat="1" x14ac:dyDescent="0.2">
      <c r="A164" s="49">
        <v>3</v>
      </c>
      <c r="B164" s="53" t="s">
        <v>127</v>
      </c>
      <c r="C164" s="53">
        <v>4.0813626483585967E-3</v>
      </c>
      <c r="D164" s="53">
        <v>2.6771119891378849E-2</v>
      </c>
      <c r="E164" s="53">
        <v>6.9278024599152943E-2</v>
      </c>
      <c r="F164" s="49">
        <v>3689192</v>
      </c>
      <c r="G164" s="49">
        <v>3</v>
      </c>
      <c r="H164" s="53" t="s">
        <v>143</v>
      </c>
      <c r="I164" s="53">
        <v>2.9552569340643283E-3</v>
      </c>
      <c r="J164" s="53">
        <v>1.2994070532997243E-2</v>
      </c>
      <c r="K164" s="53">
        <v>1.3998603915932101E-2</v>
      </c>
      <c r="L164" s="49">
        <v>3050596</v>
      </c>
      <c r="N164" s="48" t="s">
        <v>125</v>
      </c>
      <c r="R164" s="21"/>
      <c r="S164" s="21"/>
    </row>
    <row r="165" spans="1:19" s="48" customFormat="1" x14ac:dyDescent="0.2">
      <c r="A165" s="49">
        <v>4</v>
      </c>
      <c r="B165" s="53" t="s">
        <v>143</v>
      </c>
      <c r="C165" s="53">
        <v>3.8999618577224382E-3</v>
      </c>
      <c r="D165" s="53">
        <v>1.276962693497991E-2</v>
      </c>
      <c r="E165" s="53">
        <v>0</v>
      </c>
      <c r="F165" s="49">
        <v>3050596</v>
      </c>
      <c r="G165" s="49">
        <v>4</v>
      </c>
      <c r="H165" s="53" t="s">
        <v>146</v>
      </c>
      <c r="I165" s="53">
        <v>0</v>
      </c>
      <c r="J165" s="53">
        <v>6.2343507562100898E-3</v>
      </c>
      <c r="K165" s="53">
        <v>0</v>
      </c>
      <c r="L165" s="49">
        <v>7434864</v>
      </c>
      <c r="R165" s="21"/>
      <c r="S165" s="21"/>
    </row>
    <row r="166" spans="1:19" s="48" customFormat="1" x14ac:dyDescent="0.2">
      <c r="A166" s="49">
        <v>5</v>
      </c>
      <c r="B166" s="53" t="s">
        <v>128</v>
      </c>
      <c r="C166" s="53">
        <v>0</v>
      </c>
      <c r="D166" s="53">
        <v>1.1954790512932273E-2</v>
      </c>
      <c r="E166" s="53">
        <v>0</v>
      </c>
      <c r="F166" s="49">
        <v>2480382</v>
      </c>
      <c r="G166" s="49">
        <v>5</v>
      </c>
      <c r="H166" s="53" t="s">
        <v>20</v>
      </c>
      <c r="I166" s="53">
        <v>0</v>
      </c>
      <c r="J166" s="53">
        <v>5.8364025042050363E-3</v>
      </c>
      <c r="K166" s="53">
        <v>0</v>
      </c>
      <c r="L166" s="49">
        <v>8497745</v>
      </c>
      <c r="R166" s="21"/>
      <c r="S166" s="21"/>
    </row>
    <row r="167" spans="1:19" s="48" customFormat="1" x14ac:dyDescent="0.2">
      <c r="A167" s="49">
        <v>6</v>
      </c>
      <c r="B167" s="53" t="s">
        <v>105</v>
      </c>
      <c r="C167" s="53">
        <v>0</v>
      </c>
      <c r="D167" s="53">
        <v>0</v>
      </c>
      <c r="E167" s="53">
        <v>2.7863759358968145E-2</v>
      </c>
      <c r="F167" s="49">
        <v>14393110</v>
      </c>
      <c r="G167" s="49">
        <v>6</v>
      </c>
      <c r="H167" s="53" t="s">
        <v>104</v>
      </c>
      <c r="I167" s="53">
        <v>0</v>
      </c>
      <c r="J167" s="53">
        <v>0</v>
      </c>
      <c r="K167" s="53">
        <v>1.7203657917673271E-2</v>
      </c>
      <c r="L167" s="49">
        <v>1692097</v>
      </c>
      <c r="R167" s="21"/>
      <c r="S167" s="21"/>
    </row>
    <row r="168" spans="1:19" s="48" customFormat="1" x14ac:dyDescent="0.2">
      <c r="A168" s="49">
        <v>7</v>
      </c>
      <c r="B168" s="53" t="s">
        <v>104</v>
      </c>
      <c r="C168" s="53">
        <v>0</v>
      </c>
      <c r="D168" s="53">
        <v>0</v>
      </c>
      <c r="E168" s="53">
        <v>2.234232909528662E-2</v>
      </c>
      <c r="F168" s="49">
        <v>1692097</v>
      </c>
      <c r="G168" s="49">
        <v>7</v>
      </c>
      <c r="H168" s="53" t="s">
        <v>105</v>
      </c>
      <c r="I168" s="53">
        <v>0</v>
      </c>
      <c r="J168" s="53">
        <v>0</v>
      </c>
      <c r="K168" s="53">
        <v>1.0812010639674876E-2</v>
      </c>
      <c r="L168" s="49">
        <v>14393110</v>
      </c>
      <c r="R168" s="21"/>
      <c r="S168" s="21"/>
    </row>
    <row r="169" spans="1:19" s="48" customFormat="1" x14ac:dyDescent="0.2">
      <c r="A169" s="49">
        <v>8</v>
      </c>
      <c r="B169" s="53" t="s">
        <v>106</v>
      </c>
      <c r="C169" s="53">
        <v>5.5561014192367789E-3</v>
      </c>
      <c r="D169" s="53">
        <v>0</v>
      </c>
      <c r="E169" s="53">
        <v>0</v>
      </c>
      <c r="F169" s="49">
        <v>11115023</v>
      </c>
      <c r="G169" s="49">
        <v>8</v>
      </c>
      <c r="H169" s="53" t="s">
        <v>144</v>
      </c>
      <c r="I169" s="53">
        <v>1.8884915224019751E-3</v>
      </c>
      <c r="J169" s="53">
        <v>0</v>
      </c>
      <c r="K169" s="53">
        <v>0</v>
      </c>
      <c r="L169" s="49">
        <v>2887140</v>
      </c>
      <c r="R169" s="21"/>
      <c r="S169" s="21"/>
    </row>
    <row r="170" spans="1:19" s="48" customFormat="1" x14ac:dyDescent="0.2">
      <c r="A170" s="49">
        <v>9</v>
      </c>
      <c r="B170" s="53" t="s">
        <v>107</v>
      </c>
      <c r="C170" s="53">
        <v>0.76093954367596073</v>
      </c>
      <c r="D170" s="53">
        <v>2.7725766845464683E-2</v>
      </c>
      <c r="E170" s="53">
        <v>3.2904766464789681E-2</v>
      </c>
      <c r="F170" s="49">
        <v>5920853</v>
      </c>
      <c r="G170" s="49">
        <v>9</v>
      </c>
      <c r="H170" s="53" t="s">
        <v>106</v>
      </c>
      <c r="I170" s="53">
        <v>1.4964716647096789E-3</v>
      </c>
      <c r="J170" s="53">
        <v>0</v>
      </c>
      <c r="K170" s="53">
        <v>0</v>
      </c>
      <c r="L170" s="49">
        <v>11115023</v>
      </c>
      <c r="R170" s="21"/>
      <c r="S170" s="21"/>
    </row>
    <row r="171" spans="1:19" s="48" customFormat="1" x14ac:dyDescent="0.2">
      <c r="A171" s="49">
        <v>10</v>
      </c>
      <c r="B171" s="53"/>
      <c r="C171" s="53">
        <v>0</v>
      </c>
      <c r="D171" s="53">
        <v>0</v>
      </c>
      <c r="E171" s="53">
        <v>0</v>
      </c>
      <c r="F171" s="49"/>
      <c r="G171" s="49">
        <v>10</v>
      </c>
      <c r="H171" s="53" t="s">
        <v>107</v>
      </c>
      <c r="I171" s="53">
        <v>0.797162927360481</v>
      </c>
      <c r="J171" s="53">
        <v>2.1412119432796972E-2</v>
      </c>
      <c r="K171" s="53">
        <v>8.7409030111386898E-2</v>
      </c>
      <c r="L171" s="49">
        <v>5920853</v>
      </c>
      <c r="R171" s="21"/>
      <c r="S171" s="21"/>
    </row>
    <row r="172" spans="1:19" s="48" customFormat="1" x14ac:dyDescent="0.2">
      <c r="A172" s="49">
        <v>11</v>
      </c>
      <c r="B172" s="53"/>
      <c r="C172" s="53">
        <v>0</v>
      </c>
      <c r="D172" s="53">
        <v>0</v>
      </c>
      <c r="E172" s="53">
        <v>0</v>
      </c>
      <c r="F172" s="49"/>
      <c r="G172" s="49">
        <v>11</v>
      </c>
      <c r="H172" s="53"/>
      <c r="I172" s="53">
        <v>0</v>
      </c>
      <c r="J172" s="53">
        <v>0</v>
      </c>
      <c r="K172" s="53">
        <v>0</v>
      </c>
      <c r="L172" s="49"/>
      <c r="R172" s="21"/>
      <c r="S172" s="21"/>
    </row>
    <row r="173" spans="1:19" s="48" customFormat="1" x14ac:dyDescent="0.2">
      <c r="A173" s="49">
        <v>12</v>
      </c>
      <c r="B173" s="53"/>
      <c r="C173" s="53">
        <v>0</v>
      </c>
      <c r="D173" s="53">
        <v>0</v>
      </c>
      <c r="E173" s="53">
        <v>0</v>
      </c>
      <c r="F173" s="49"/>
      <c r="G173" s="49">
        <v>12</v>
      </c>
      <c r="H173" s="53"/>
      <c r="I173" s="53">
        <v>0</v>
      </c>
      <c r="J173" s="53">
        <v>0</v>
      </c>
      <c r="K173" s="53">
        <v>0</v>
      </c>
      <c r="L173" s="49"/>
      <c r="R173" s="21"/>
      <c r="S173" s="21"/>
    </row>
    <row r="174" spans="1:19" s="48" customFormat="1" x14ac:dyDescent="0.2">
      <c r="A174" s="49">
        <v>13</v>
      </c>
      <c r="B174" s="53"/>
      <c r="C174" s="53">
        <v>0</v>
      </c>
      <c r="D174" s="53">
        <v>0</v>
      </c>
      <c r="E174" s="53">
        <v>0</v>
      </c>
      <c r="F174" s="49"/>
      <c r="G174" s="49">
        <v>13</v>
      </c>
      <c r="H174" s="53"/>
      <c r="I174" s="53">
        <v>0</v>
      </c>
      <c r="J174" s="53">
        <v>0</v>
      </c>
      <c r="K174" s="53">
        <v>0</v>
      </c>
      <c r="L174" s="49"/>
      <c r="R174" s="21"/>
      <c r="S174" s="21"/>
    </row>
    <row r="175" spans="1:19" s="48" customFormat="1" x14ac:dyDescent="0.2">
      <c r="A175" s="49">
        <v>14</v>
      </c>
      <c r="B175" s="53"/>
      <c r="C175" s="53">
        <v>0</v>
      </c>
      <c r="D175" s="53">
        <v>0</v>
      </c>
      <c r="E175" s="53">
        <v>0</v>
      </c>
      <c r="F175" s="49"/>
      <c r="G175" s="49">
        <v>14</v>
      </c>
      <c r="H175" s="53"/>
      <c r="I175" s="53">
        <v>0</v>
      </c>
      <c r="J175" s="53">
        <v>0</v>
      </c>
      <c r="K175" s="53">
        <v>0</v>
      </c>
      <c r="L175" s="49"/>
      <c r="R175" s="21"/>
      <c r="S175" s="21"/>
    </row>
    <row r="176" spans="1:19" s="48" customFormat="1" x14ac:dyDescent="0.2">
      <c r="A176" s="49">
        <v>15</v>
      </c>
      <c r="B176" s="53"/>
      <c r="C176" s="53">
        <v>0</v>
      </c>
      <c r="D176" s="53">
        <v>0</v>
      </c>
      <c r="E176" s="53">
        <v>0</v>
      </c>
      <c r="F176" s="49"/>
      <c r="G176" s="49">
        <v>15</v>
      </c>
      <c r="H176" s="53"/>
      <c r="I176" s="53">
        <v>0</v>
      </c>
      <c r="J176" s="53">
        <v>0</v>
      </c>
      <c r="K176" s="53">
        <v>0</v>
      </c>
      <c r="L176" s="49"/>
      <c r="R176" s="21"/>
      <c r="S176" s="21"/>
    </row>
    <row r="177" spans="1:19" s="48" customFormat="1" x14ac:dyDescent="0.2">
      <c r="A177" s="49">
        <v>16</v>
      </c>
      <c r="B177" s="53"/>
      <c r="C177" s="53">
        <v>0</v>
      </c>
      <c r="D177" s="53">
        <v>0</v>
      </c>
      <c r="E177" s="53">
        <v>0</v>
      </c>
      <c r="F177" s="49"/>
      <c r="G177" s="49">
        <v>16</v>
      </c>
      <c r="H177" s="53"/>
      <c r="I177" s="53">
        <v>0</v>
      </c>
      <c r="J177" s="53">
        <v>0</v>
      </c>
      <c r="K177" s="53">
        <v>0</v>
      </c>
      <c r="L177" s="49"/>
      <c r="R177" s="21"/>
      <c r="S177" s="21"/>
    </row>
    <row r="178" spans="1:19" s="52" customFormat="1" x14ac:dyDescent="0.2">
      <c r="A178" s="48"/>
      <c r="B178" s="48"/>
      <c r="C178" s="48"/>
      <c r="D178" s="48"/>
      <c r="E178" s="48"/>
      <c r="F178" s="48"/>
      <c r="G178" s="48"/>
      <c r="H178" s="48"/>
      <c r="I178" s="48"/>
      <c r="J178" s="48"/>
      <c r="K178" s="48"/>
      <c r="L178" s="48"/>
      <c r="M178" s="48"/>
      <c r="N178" s="48"/>
      <c r="O178" s="48"/>
      <c r="P178" s="48"/>
      <c r="Q178" s="48"/>
      <c r="R178" s="21"/>
      <c r="S178" s="21"/>
    </row>
    <row r="179" spans="1:19" s="52" customFormat="1" x14ac:dyDescent="0.2">
      <c r="A179" s="48"/>
      <c r="B179" s="48"/>
      <c r="C179" s="48"/>
      <c r="D179" s="48"/>
      <c r="E179" s="48"/>
      <c r="F179" s="48"/>
      <c r="G179" s="48"/>
      <c r="H179" s="48"/>
      <c r="I179" s="48"/>
      <c r="J179" s="48"/>
      <c r="K179" s="48"/>
      <c r="L179" s="48"/>
      <c r="M179" s="48"/>
      <c r="N179" s="48"/>
      <c r="O179" s="48"/>
      <c r="P179" s="48"/>
      <c r="Q179" s="48"/>
      <c r="R179" s="21"/>
      <c r="S179" s="21"/>
    </row>
    <row r="180" spans="1:19" s="52" customFormat="1" x14ac:dyDescent="0.2">
      <c r="A180" s="21"/>
      <c r="B180" s="21"/>
      <c r="C180" s="21"/>
      <c r="D180" s="21"/>
      <c r="E180" s="21"/>
      <c r="F180" s="21"/>
      <c r="G180" s="21"/>
      <c r="H180" s="21"/>
      <c r="I180" s="21"/>
      <c r="J180" s="21"/>
      <c r="K180" s="21"/>
      <c r="L180" s="21"/>
      <c r="M180" s="21"/>
      <c r="N180" s="21"/>
      <c r="O180" s="21"/>
      <c r="P180" s="21"/>
      <c r="Q180" s="21"/>
      <c r="R180" s="21"/>
      <c r="S180" s="21"/>
    </row>
    <row r="181" spans="1:19" s="52" customFormat="1" x14ac:dyDescent="0.2">
      <c r="A181" s="21"/>
      <c r="B181" s="21"/>
      <c r="C181" s="21"/>
      <c r="D181" s="21"/>
      <c r="E181" s="21"/>
      <c r="F181" s="21"/>
      <c r="G181" s="21"/>
      <c r="H181" s="21"/>
      <c r="I181" s="21"/>
      <c r="J181" s="21"/>
      <c r="K181" s="21"/>
      <c r="L181" s="21"/>
      <c r="M181" s="21"/>
      <c r="N181" s="21"/>
      <c r="O181" s="21"/>
      <c r="P181" s="21"/>
      <c r="Q181" s="21"/>
      <c r="R181" s="21"/>
      <c r="S181" s="21"/>
    </row>
    <row r="182" spans="1:19" s="52" customFormat="1" x14ac:dyDescent="0.2">
      <c r="A182" s="21"/>
      <c r="B182" s="21"/>
      <c r="C182" s="21"/>
      <c r="D182" s="21"/>
      <c r="E182" s="21"/>
      <c r="F182" s="21"/>
      <c r="G182" s="21"/>
      <c r="H182" s="21"/>
      <c r="I182" s="21"/>
      <c r="J182" s="21"/>
      <c r="K182" s="21"/>
      <c r="L182" s="21"/>
      <c r="M182" s="21"/>
      <c r="N182" s="21"/>
      <c r="O182" s="21"/>
      <c r="P182" s="21"/>
      <c r="Q182" s="21"/>
      <c r="R182" s="21"/>
      <c r="S182" s="21"/>
    </row>
    <row r="183" spans="1:19" s="52" customFormat="1" x14ac:dyDescent="0.2">
      <c r="J183" s="21"/>
      <c r="K183" s="21"/>
      <c r="L183" s="21"/>
      <c r="M183" s="21"/>
      <c r="N183" s="21"/>
      <c r="O183" s="21"/>
      <c r="P183" s="21"/>
      <c r="Q183" s="21"/>
      <c r="R183" s="21"/>
      <c r="S183" s="21"/>
    </row>
    <row r="184" spans="1:19" s="52" customFormat="1" x14ac:dyDescent="0.2">
      <c r="J184" s="21"/>
      <c r="K184" s="21"/>
      <c r="L184" s="21"/>
      <c r="M184" s="21"/>
      <c r="N184" s="21"/>
      <c r="O184" s="21"/>
      <c r="P184" s="21"/>
      <c r="Q184" s="21"/>
      <c r="R184" s="21"/>
      <c r="S184" s="21"/>
    </row>
    <row r="185" spans="1:19" s="52" customFormat="1" x14ac:dyDescent="0.2">
      <c r="J185" s="21"/>
      <c r="K185" s="21"/>
      <c r="L185" s="21"/>
      <c r="M185" s="21"/>
      <c r="N185" s="21"/>
      <c r="O185" s="21"/>
      <c r="P185" s="21"/>
      <c r="Q185" s="21"/>
      <c r="R185" s="21"/>
      <c r="S185" s="21"/>
    </row>
    <row r="186" spans="1:19" s="52" customFormat="1" x14ac:dyDescent="0.2">
      <c r="J186" s="21"/>
      <c r="K186" s="21"/>
      <c r="L186" s="21"/>
      <c r="M186" s="21"/>
      <c r="N186" s="21"/>
      <c r="O186" s="21"/>
      <c r="P186" s="21"/>
      <c r="Q186" s="21"/>
      <c r="R186" s="21"/>
      <c r="S186" s="21"/>
    </row>
    <row r="187" spans="1:19" s="52" customFormat="1" x14ac:dyDescent="0.2"/>
    <row r="188" spans="1:19" s="52" customFormat="1" x14ac:dyDescent="0.2"/>
    <row r="189" spans="1:19" s="52" customFormat="1" x14ac:dyDescent="0.2"/>
    <row r="190" spans="1:19" s="52" customFormat="1" x14ac:dyDescent="0.2"/>
    <row r="191" spans="1:19" s="52" customFormat="1" x14ac:dyDescent="0.2"/>
    <row r="192" spans="1:19" s="52"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xr:uid="{598E180A-A5F2-4D55-BCC6-1716F3890E6D}">
      <formula1>$C$112:$C$113</formula1>
    </dataValidation>
  </dataValidations>
  <hyperlinks>
    <hyperlink ref="O1:P1" location="Home_page" display="Back to home page" xr:uid="{7A8A33E1-0B95-4D3C-9B75-81AEA6612F79}"/>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r2:uid="{E7E26E4A-0289-459B-895D-CCE9F747E58B}">
          <x14:colorSeries rgb="FF323232"/>
          <x14:colorNegative rgb="FFD00000"/>
          <x14:colorAxis rgb="FF000000"/>
          <x14:colorMarkers rgb="FFD00000"/>
          <x14:colorFirst rgb="FFD00000"/>
          <x14:colorLast rgb="FFD00000"/>
          <x14:colorHigh rgb="FFD00000"/>
          <x14:colorLow rgb="FFD00000"/>
          <x14:sparklines>
            <x14:sparkline>
              <xm:f>'Area VIIa nephrops u250kW'!D3:N3</xm:f>
              <xm:sqref>C3</xm:sqref>
            </x14:sparkline>
            <x14:sparkline>
              <xm:f>'Area VIIa nephrops u250kW'!D4:N4</xm:f>
              <xm:sqref>C4</xm:sqref>
            </x14:sparkline>
            <x14:sparkline>
              <xm:f>'Area VIIa nephrops u250kW'!D5:N5</xm:f>
              <xm:sqref>C5</xm:sqref>
            </x14:sparkline>
            <x14:sparkline>
              <xm:f>'Area VIIa nephrops u250kW'!D6:N6</xm:f>
              <xm:sqref>C6</xm:sqref>
            </x14:sparkline>
            <x14:sparkline>
              <xm:f>'Area VIIa nephrops u250kW'!D7:N7</xm:f>
              <xm:sqref>C7</xm:sqref>
            </x14:sparkline>
            <x14:sparkline>
              <xm:f>'Area VIIa nephrops u250kW'!D8:N8</xm:f>
              <xm:sqref>C8</xm:sqref>
            </x14:sparkline>
            <x14:sparkline>
              <xm:f>'Area VIIa nephrops u250kW'!D9:N9</xm:f>
              <xm:sqref>C9</xm:sqref>
            </x14:sparkline>
            <x14:sparkline>
              <xm:f>'Area VIIa nephrops u250kW'!D10:N10</xm:f>
              <xm:sqref>C10</xm:sqref>
            </x14:sparkline>
            <x14:sparkline>
              <xm:f>'Area VIIa nephrops u250kW'!D11:N11</xm:f>
              <xm:sqref>C11</xm:sqref>
            </x14:sparkline>
            <x14:sparkline>
              <xm:f>'Area VIIa nephrops u250kW'!D12:N12</xm:f>
              <xm:sqref>C12</xm:sqref>
            </x14:sparkline>
            <x14:sparkline>
              <xm:f>'Area VIIa nephrops u250kW'!D13:N13</xm:f>
              <xm:sqref>C13</xm:sqref>
            </x14:sparkline>
            <x14:sparkline>
              <xm:f>'Area VIIa nephrops u250kW'!D14:N14</xm:f>
              <xm:sqref>C14</xm:sqref>
            </x14:sparkline>
            <x14:sparkline>
              <xm:f>'Area VIIa nephrops u250kW'!D15:N15</xm:f>
              <xm:sqref>C15</xm:sqref>
            </x14:sparkline>
            <x14:sparkline>
              <xm:f>'Area VIIa nephrops u250kW'!D16:N16</xm:f>
              <xm:sqref>C16</xm:sqref>
            </x14:sparkline>
            <x14:sparkline>
              <xm:f>'Area VIIa nephrops u250kW'!D17:N17</xm:f>
              <xm:sqref>C17</xm:sqref>
            </x14:sparkline>
            <x14:sparkline>
              <xm:f>'Area VIIa nephrops u250kW'!D18:N18</xm:f>
              <xm:sqref>C18</xm:sqref>
            </x14:sparkline>
            <x14:sparkline>
              <xm:f>'Area VIIa nephrops u250kW'!D19:N19</xm:f>
              <xm:sqref>C19</xm:sqref>
            </x14:sparkline>
            <x14:sparkline>
              <xm:f>'Area VIIa nephrops u250kW'!D20:N20</xm:f>
              <xm:sqref>C20</xm:sqref>
            </x14:sparkline>
            <x14:sparkline>
              <xm:f>'Area VIIa nephrops u250kW'!D21:N21</xm:f>
              <xm:sqref>C21</xm:sqref>
            </x14:sparkline>
            <x14:sparkline>
              <xm:f>'Area VIIa nephrops u250kW'!D22:N22</xm:f>
              <xm:sqref>C22</xm:sqref>
            </x14:sparkline>
            <x14:sparkline>
              <xm:f>'Area VIIa nephrops u250kW'!D23:N23</xm:f>
              <xm:sqref>C23</xm:sqref>
            </x14:sparkline>
            <x14:sparkline>
              <xm:f>'Area VIIa nephrops u250kW'!D24:N24</xm:f>
              <xm:sqref>C24</xm:sqref>
            </x14:sparkline>
            <x14:sparkline>
              <xm:f>'Area VIIa nephrops u250kW'!D25:N25</xm:f>
              <xm:sqref>C25</xm:sqref>
            </x14:sparkline>
            <x14:sparkline>
              <xm:f>'Area VIIa nephrops u250kW'!D26:N26</xm:f>
              <xm:sqref>C26</xm:sqref>
            </x14:sparkline>
            <x14:sparkline>
              <xm:f>'Area VIIa nephrops u250kW'!D27:N27</xm:f>
              <xm:sqref>C27</xm:sqref>
            </x14:sparkline>
            <x14:sparkline>
              <xm:f>'Area VIIa nephrops u250kW'!D28:N28</xm:f>
              <xm:sqref>C28</xm:sqref>
            </x14:sparkline>
            <x14:sparkline>
              <xm:f>'Area VIIa nephrops u250kW'!D29:N29</xm:f>
              <xm:sqref>C29</xm:sqref>
            </x14:sparkline>
            <x14:sparkline>
              <xm:f>'Area VIIa nephrops u250kW'!D30:N30</xm:f>
              <xm:sqref>C30</xm:sqref>
            </x14:sparkline>
            <x14:sparkline>
              <xm:f>'Area VIIa nephrops u250kW'!D31:N31</xm:f>
              <xm:sqref>C31</xm:sqref>
            </x14:sparkline>
            <x14:sparkline>
              <xm:f>'Area VIIa nephrops u250kW'!D32:N32</xm:f>
              <xm:sqref>C32</xm:sqref>
            </x14:sparkline>
            <x14:sparkline>
              <xm:f>'Area VIIa nephrops u250kW'!D33:N33</xm:f>
              <xm:sqref>C33</xm:sqref>
            </x14:sparkline>
            <x14:sparkline>
              <xm:f>'Area VIIa nephrops u250kW'!D34:N34</xm:f>
              <xm:sqref>C34</xm:sqref>
            </x14:sparkline>
            <x14:sparkline>
              <xm:f>'Area VIIa nephrops u250kW'!D35:N35</xm:f>
              <xm:sqref>C35</xm:sqref>
            </x14:sparkline>
            <x14:sparkline>
              <xm:f>'Area VIIa nephrops u250kW'!D36:N36</xm:f>
              <xm:sqref>C36</xm:sqref>
            </x14:sparkline>
            <x14:sparkline>
              <xm:f>'Area VIIa nephrops u250kW'!D37:N37</xm:f>
              <xm:sqref>C37</xm:sqref>
            </x14:sparkline>
            <x14:sparkline>
              <xm:f>'Area VIIa nephrops u250kW'!D38:N38</xm:f>
              <xm:sqref>C38</xm:sqref>
            </x14:sparkline>
            <x14:sparkline>
              <xm:f>'Area VIIa nephrops u250kW'!D39:N39</xm:f>
              <xm:sqref>C39</xm:sqref>
            </x14:sparkline>
            <x14:sparkline>
              <xm:f>'Area VIIa nephrops u250kW'!D40:N40</xm:f>
              <xm:sqref>C40</xm:sqref>
            </x14:sparkline>
            <x14:sparkline>
              <xm:f>'Area VIIa nephrops u250kW'!D41:N41</xm:f>
              <xm:sqref>C41</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Seafish Open Document" ma:contentTypeID="0x010100FBC0F8BFD01A91498CA7837A71EEDFDB0100D8D74AD133DD5E4C9488BA264812959E" ma:contentTypeVersion="30" ma:contentTypeDescription="Seafish Open Document Content Type" ma:contentTypeScope="" ma:versionID="6cf6eeec6f8d0b88530e7c73574e6803">
  <xsd:schema xmlns:xsd="http://www.w3.org/2001/XMLSchema" xmlns:xs="http://www.w3.org/2001/XMLSchema" xmlns:p="http://schemas.microsoft.com/office/2006/metadata/properties" xmlns:ns2="cebd32e3-9ab6-41ee-b1af-b8405a8d4e68" xmlns:ns3="d4c1e97c-7a75-4aca-9712-5efb9ef450ab" targetNamespace="http://schemas.microsoft.com/office/2006/metadata/properties" ma:root="true" ma:fieldsID="c7adf362057f3fbfeab303a81cf00593" ns2:_="" ns3:_="">
    <xsd:import namespace="cebd32e3-9ab6-41ee-b1af-b8405a8d4e68"/>
    <xsd:import namespace="d4c1e97c-7a75-4aca-9712-5efb9ef450ab"/>
    <xsd:element name="properties">
      <xsd:complexType>
        <xsd:sequence>
          <xsd:element name="documentManagement">
            <xsd:complexType>
              <xsd:all>
                <xsd:element ref="ns2:PublicationDate"/>
                <xsd:element ref="ns2:DocumentSummary"/>
                <xsd:element ref="ns2:DocumentTopic" minOccurs="0"/>
                <xsd:element ref="ns2:DocumentAuthors" minOccurs="0"/>
                <xsd:element ref="ns2:MediaFormatOld" minOccurs="0"/>
                <xsd:element ref="ns2:PublicationRefNo" minOccurs="0"/>
                <xsd:element ref="ns2:ISBN" minOccurs="0"/>
                <xsd:element ref="ns2:LegacyId" minOccurs="0"/>
                <xsd:element ref="ns2:PubMonth" minOccurs="0"/>
                <xsd:element ref="ns2:PubYear" minOccurs="0"/>
                <xsd:element ref="ns2:MediaFormat" minOccurs="0"/>
                <xsd:element ref="ns2:DocumentAdded"/>
                <xsd:element ref="ns2:DocumentStatus"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MediaServiceAutoTags" minOccurs="0"/>
                <xsd:element ref="ns3:MediaServiceOCR" minOccurs="0"/>
                <xsd:element ref="ns3:MediaServiceGenerationTime" minOccurs="0"/>
                <xsd:element ref="ns3:MediaServiceEventHashCode"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bd32e3-9ab6-41ee-b1af-b8405a8d4e68" elementFormDefault="qualified">
    <xsd:import namespace="http://schemas.microsoft.com/office/2006/documentManagement/types"/>
    <xsd:import namespace="http://schemas.microsoft.com/office/infopath/2007/PartnerControls"/>
    <xsd:element name="PublicationDate" ma:index="2" ma:displayName="Publication Date" ma:format="DateOnly" ma:internalName="PublicationDate">
      <xsd:simpleType>
        <xsd:restriction base="dms:DateTime"/>
      </xsd:simpleType>
    </xsd:element>
    <xsd:element name="DocumentSummary" ma:index="3" ma:displayName="Summary" ma:internalName="DocumentSummary" ma:readOnly="false">
      <xsd:simpleType>
        <xsd:restriction base="dms:Note">
          <xsd:maxLength value="255"/>
        </xsd:restriction>
      </xsd:simpleType>
    </xsd:element>
    <xsd:element name="DocumentTopic" ma:index="5" nillable="true" ma:displayName="Topic" ma:default="" ma:internalName="DocumentTopic">
      <xsd:complexType>
        <xsd:complexContent>
          <xsd:extension base="dms:MultiChoice">
            <xsd:sequence>
              <xsd:element name="Value" maxOccurs="unbounded" minOccurs="0" nillable="true">
                <xsd:simpleType>
                  <xsd:restriction base="dms:Choice">
                    <xsd:enumeration value="Technical Report"/>
                    <xsd:enumeration value="Factsheet/Datasheet"/>
                    <xsd:enumeration value="Corporate Document"/>
                    <xsd:enumeration value="Guidelines"/>
                    <xsd:enumeration value="Marine Survey"/>
                    <xsd:enumeration value="Training Material"/>
                    <xsd:enumeration value="Careers"/>
                    <xsd:enumeration value="Economics and Business"/>
                    <xsd:enumeration value="Aquaculture"/>
                    <xsd:enumeration value="IPF Final Reports"/>
                    <xsd:enumeration value="Other"/>
                    <xsd:enumeration value="Not known"/>
                    <xsd:enumeration value="Internal Seafish Report"/>
                    <xsd:enumeration value="Confidential Seafish Report"/>
                    <xsd:enumeration value="Seafood Guide"/>
                    <xsd:enumeration value=".Web-About Seafish"/>
                    <xsd:enumeration value=".Web-Changing Landscapes"/>
                    <xsd:enumeration value=".Web-Promoting Seafood"/>
                    <xsd:enumeration value=".Web-Responsible Sourcing"/>
                    <xsd:enumeration value=".Web-Safety and Training"/>
                    <xsd:enumeration value=".Web-Insight and Research"/>
                  </xsd:restriction>
                </xsd:simpleType>
              </xsd:element>
            </xsd:sequence>
          </xsd:extension>
        </xsd:complexContent>
      </xsd:complexType>
    </xsd:element>
    <xsd:element name="DocumentAuthors" ma:index="6" nillable="true" ma:displayName="Authors" ma:internalName="DocumentAuthors">
      <xsd:complexType>
        <xsd:complexContent>
          <xsd:extension base="dms:MultiChoice">
            <xsd:sequence>
              <xsd:element name="Value" maxOccurs="unbounded" minOccurs="0" nillable="true">
                <xsd:simpleType>
                  <xsd:restriction base="dms:Choice">
                    <xsd:enumeration value="A. Justel-Rubio"/>
                    <xsd:enumeration value="A. Lucchetti"/>
                    <xsd:enumeration value="A. Sala"/>
                    <xsd:enumeration value="A.Adams"/>
                    <xsd:enumeration value="A.B"/>
                    <xsd:enumeration value="A.Bent"/>
                    <xsd:enumeration value="A.Brown"/>
                    <xsd:enumeration value="A.C.C"/>
                    <xsd:enumeration value="A.Campbell"/>
                    <xsd:enumeration value="A.Chau"/>
                    <xsd:enumeration value="A.Copeland"/>
                    <xsd:enumeration value="A.Corcoran"/>
                    <xsd:enumeration value="A.Coutts"/>
                    <xsd:enumeration value="A.Dean"/>
                    <xsd:enumeration value="A.G.Hopper"/>
                    <xsd:enumeration value="A.Garthwaite"/>
                    <xsd:enumeration value="A.Grant"/>
                    <xsd:enumeration value="A.Hewer"/>
                    <xsd:enumeration value="A.J.Courtney"/>
                    <xsd:enumeration value="A.J.Dean"/>
                    <xsd:enumeration value="A.Kenny"/>
                    <xsd:enumeration value="A.Martin"/>
                    <xsd:enumeration value="A.Mills"/>
                    <xsd:enumeration value="A.Moody"/>
                    <xsd:enumeration value="A.Nicholson"/>
                    <xsd:enumeration value="A.P.Woolmer"/>
                    <xsd:enumeration value="A.R"/>
                    <xsd:enumeration value="A.Revill"/>
                    <xsd:enumeration value="A.S"/>
                    <xsd:enumeration value="A.Santos"/>
                    <xsd:enumeration value="A.Searle"/>
                    <xsd:enumeration value="A.Smith"/>
                    <xsd:enumeration value="A.Steel"/>
                    <xsd:enumeration value="A.Strickland"/>
                    <xsd:enumeration value="A.Thompson"/>
                    <xsd:enumeration value="A.Wilson"/>
                    <xsd:enumeration value="A.Woolmer"/>
                    <xsd:enumeration value="A.Younger"/>
                    <xsd:enumeration value="A.Younger"/>
                    <xsd:enumeration value="Acoura"/>
                    <xsd:enumeration value="Adam Brown"/>
                    <xsd:enumeration value="ADAS"/>
                    <xsd:enumeration value="ADAS Environment"/>
                    <xsd:enumeration value="AFBI"/>
                    <xsd:enumeration value="AGH"/>
                    <xsd:enumeration value="Agri Food and Biosciences Institute"/>
                    <xsd:enumeration value="Alan Dean"/>
                    <xsd:enumeration value="Alan Hayes"/>
                    <xsd:enumeration value="Alex Caveen"/>
                    <xsd:enumeration value="Alexander Schofield"/>
                    <xsd:enumeration value="Alison Austin"/>
                    <xsd:enumeration value="Ana Justel-Rubio"/>
                    <xsd:enumeration value="Ana Witteveen"/>
                    <xsd:enumeration value="Andrew FitzGerald"/>
                    <xsd:enumeration value="ANIFOP"/>
                    <xsd:enumeration value="Anne Cameron"/>
                    <xsd:enumeration value="Anne Wallace"/>
                    <xsd:enumeration value="Anne-Margaret Stewart"/>
                    <xsd:enumeration value="Aquafish Solutions Ltd."/>
                    <xsd:enumeration value="Aquatic Water Services Ltd."/>
                    <xsd:enumeration value="Ardtoe"/>
                    <xsd:enumeration value="Arina Motova"/>
                    <xsd:enumeration value="ASSG"/>
                    <xsd:enumeration value="Association of Port Health Authorities"/>
                    <xsd:enumeration value="Association of Public Analy"/>
                    <xsd:enumeration value="ATM"/>
                    <xsd:enumeration value="B.A"/>
                    <xsd:enumeration value="B.Ashcroft"/>
                    <xsd:enumeration value="B.Greenwood"/>
                    <xsd:enumeration value="B.H"/>
                    <xsd:enumeration value="B.Hughes"/>
                    <xsd:enumeration value="B.Mounce"/>
                    <xsd:enumeration value="B.Scannell"/>
                    <xsd:enumeration value="B.Thain"/>
                    <xsd:enumeration value="B.van Marlen"/>
                    <xsd:enumeration value="B.Wilson"/>
                    <xsd:enumeration value="BFFF"/>
                    <xsd:enumeration value="BHA"/>
                    <xsd:enumeration value="BIM Irish Sea Fisheries Board"/>
                    <xsd:enumeration value="Brahm Insight"/>
                    <xsd:enumeration value="BRC"/>
                    <xsd:enumeration value="British Marine Finfish Association"/>
                    <xsd:enumeration value="Bryony Townhill (Marine Climate Change Impacts Partnership)"/>
                    <xsd:enumeration value="C. Burton"/>
                    <xsd:enumeration value="C.A.Burton"/>
                    <xsd:enumeration value="C.A.Goudey"/>
                    <xsd:enumeration value="C.B"/>
                    <xsd:enumeration value="C.Baker"/>
                    <xsd:enumeration value="C.Brady"/>
                    <xsd:enumeration value="C.C"/>
                    <xsd:enumeration value="C.Carlton"/>
                    <xsd:enumeration value="C.Curr"/>
                    <xsd:enumeration value="C.Cutts"/>
                    <xsd:enumeration value="C.Daniels"/>
                    <xsd:enumeration value="C.E.P.Watson"/>
                    <xsd:enumeration value="C.E.Tucker"/>
                    <xsd:enumeration value="C.F.Jackson"/>
                    <xsd:enumeration value="C.Filippopoulos"/>
                    <xsd:enumeration value="C.Ford"/>
                    <xsd:enumeration value="C.G.S.W"/>
                    <xsd:enumeration value="C.H.Davies"/>
                    <xsd:enumeration value="C.J Cutts"/>
                    <xsd:enumeration value="C.J. Chapman"/>
                    <xsd:enumeration value="C.J.Ellis"/>
                    <xsd:enumeration value="C.Jackson"/>
                    <xsd:enumeration value="C.Knight"/>
                    <xsd:enumeration value="C.Lacamara"/>
                    <xsd:enumeration value="C.Leadley"/>
                    <xsd:enumeration value="C.M. Fortuna"/>
                    <xsd:enumeration value="C.Mazorra de Quero"/>
                    <xsd:enumeration value="C.Nevin"/>
                    <xsd:enumeration value="C.P.Baker"/>
                    <xsd:enumeration value="C.Roberts"/>
                    <xsd:enumeration value="C.Saurel"/>
                    <xsd:enumeration value="C.T.O"/>
                    <xsd:enumeration value="C.T.W.C"/>
                    <xsd:enumeration value="C.T.W.Curr"/>
                    <xsd:enumeration value="C.Tucker"/>
                    <xsd:enumeration value="C.W"/>
                    <xsd:enumeration value="C.Wells"/>
                    <xsd:enumeration value="C.Young"/>
                    <xsd:enumeration value="CA Burton"/>
                    <xsd:enumeration value="Camborne School of Mines"/>
                    <xsd:enumeration value="Campden BRI"/>
                    <xsd:enumeration value="Candida Barbato"/>
                    <xsd:enumeration value="Cardiff Economic Research Associates Ltd"/>
                    <xsd:enumeration value="Catriona Power"/>
                    <xsd:enumeration value="CC"/>
                    <xsd:enumeration value="CCFRA"/>
                    <xsd:enumeration value="Cefas"/>
                    <xsd:enumeration value="Centre for Aquaculture and Fisheries"/>
                    <xsd:enumeration value="CEPW"/>
                    <xsd:enumeration value="CEPW"/>
                    <xsd:enumeration value="CFPO"/>
                    <xsd:enumeration value="Chao Lu"/>
                    <xsd:enumeration value="Chelonia"/>
                    <xsd:enumeration value="China Ministry of Health"/>
                    <xsd:enumeration value="Chris Barbour"/>
                    <xsd:enumeration value="Chris Kirkland"/>
                    <xsd:enumeration value="Clifford A.Goudey"/>
                    <xsd:enumeration value="Clive Monk"/>
                    <xsd:enumeration value="Colin Brodie"/>
                    <xsd:enumeration value="Craig Burton"/>
                    <xsd:enumeration value="Crick Carlton"/>
                    <xsd:enumeration value="Cristina Fernandez"/>
                    <xsd:enumeration value="Cristina Pita"/>
                    <xsd:enumeration value="D. Itano"/>
                    <xsd:enumeration value="D.A"/>
                    <xsd:enumeration value="D.A.Masson"/>
                    <xsd:enumeration value="D.Amos"/>
                    <xsd:enumeration value="D.Amos"/>
                    <xsd:enumeration value="D.Boothroyd"/>
                    <xsd:enumeration value="D.Burdon"/>
                    <xsd:enumeration value="D.Cashmore"/>
                    <xsd:enumeration value="D.Cole"/>
                    <xsd:enumeration value="D.Cook"/>
                    <xsd:enumeration value="D.E.Ballam"/>
                    <xsd:enumeration value="D.Edwards"/>
                    <xsd:enumeration value="D.Elliot"/>
                    <xsd:enumeration value="D.G"/>
                    <xsd:enumeration value="D.Gowland"/>
                    <xsd:enumeration value="D.H"/>
                    <xsd:enumeration value="D.Harrison"/>
                    <xsd:enumeration value="D.Homer"/>
                    <xsd:enumeration value="D.Hornerm"/>
                    <xsd:enumeration value="D.J.Wood"/>
                    <xsd:enumeration value="D.L"/>
                    <xsd:enumeration value="D.Marshall"/>
                    <xsd:enumeration value="D.Miles"/>
                    <xsd:enumeration value="D.Miller"/>
                    <xsd:enumeration value="D.Oakes"/>
                    <xsd:enumeration value="D.P"/>
                    <xsd:enumeration value="D.Patterson"/>
                    <xsd:enumeration value="D.Pirie"/>
                    <xsd:enumeration value="D.Robertson"/>
                    <xsd:enumeration value="D.S"/>
                    <xsd:enumeration value="D.Steel"/>
                    <xsd:enumeration value="D.Sykes"/>
                    <xsd:enumeration value="D.Symes"/>
                    <xsd:enumeration value="D.Taylor"/>
                    <xsd:enumeration value="D.Tocher"/>
                    <xsd:enumeration value="D.W"/>
                    <xsd:enumeration value="D.Wood"/>
                    <xsd:enumeration value="D.Woods"/>
                    <xsd:enumeration value="Daniel Lee"/>
                    <xsd:enumeration value="Daniel McDonald"/>
                    <xsd:enumeration value="Daragh Browne"/>
                    <xsd:enumeration value="Darren Stevenson, Legal Director at Wiggin LLP"/>
                    <xsd:enumeration value="Dave Dewick"/>
                    <xsd:enumeration value="Dave Price"/>
                    <xsd:enumeration value="David Parish"/>
                    <xsd:enumeration value="David Parker"/>
                    <xsd:enumeration value="David Russell"/>
                    <xsd:enumeration value="David Sterling"/>
                    <xsd:enumeration value="Dawby"/>
                    <xsd:enumeration value="Dawn Sneddon"/>
                    <xsd:enumeration value="Dean Millar"/>
                    <xsd:enumeration value="Defra"/>
                    <xsd:enumeration value="DIFRES"/>
                    <xsd:enumeration value="DIFTA"/>
                    <xsd:enumeration value="DIFTA Denmark"/>
                    <xsd:enumeration value="DoH"/>
                    <xsd:enumeration value="Doug McLeod"/>
                    <xsd:enumeration value="Dr B. McAdam (Stirling University)"/>
                    <xsd:enumeration value="Dr J. Harman"/>
                    <xsd:enumeration value="Dr J. Pinnegar (CEFAS"/>
                    <xsd:enumeration value="Dr L. Falconer"/>
                    <xsd:enumeration value="Dr Stewart Brown (Stewart Brown Associates Ltd)"/>
                    <xsd:enumeration value="Dr T. Telfer"/>
                    <xsd:enumeration value="Dr Tom Pickerell (Tomolamola Consulting Ltd)"/>
                    <xsd:enumeration value="Dr. A.R.Hearn"/>
                    <xsd:enumeration value="Dr. Alan Heyworth"/>
                    <xsd:enumeration value="Dr. Alex Caveen"/>
                    <xsd:enumeration value="Dr. Andrew Jackson"/>
                    <xsd:enumeration value="Dr. Andrew Woolmer"/>
                    <xsd:enumeration value="Dr. Andy Revill"/>
                    <xsd:enumeration value="Dr. Angus Garrett"/>
                    <xsd:enumeration value="Dr. Annika Clements"/>
                    <xsd:enumeration value="Dr. Bill Roy"/>
                    <xsd:enumeration value="Dr. D.Robertson"/>
                    <xsd:enumeration value="Dr. E.Fossey"/>
                    <xsd:enumeration value="Dr. Edwards"/>
                    <xsd:enumeration value="Dr. Eric Edwards"/>
                    <xsd:enumeration value="Dr. Francis Murray"/>
                    <xsd:enumeration value="Dr. Hilmar Hinz"/>
                    <xsd:enumeration value="Dr. I.T.Mentjes"/>
                    <xsd:enumeration value="Dr. J.Sheperd"/>
                    <xsd:enumeration value="Dr. James Bron"/>
                    <xsd:enumeration value="Dr. James Treasurer"/>
                    <xsd:enumeration value="Dr. Jan G.Hiddink"/>
                    <xsd:enumeration value="Dr. Jim Treasurer, Dr T Atack"/>
                    <xsd:enumeration value="Dr. John Pinnegar"/>
                    <xsd:enumeration value="Dr. Jon Harman"/>
                    <xsd:enumeration value="Dr. M.Mühling"/>
                    <xsd:enumeration value="Dr. Matt Service"/>
                    <xsd:enumeration value="Dr. N.Lake"/>
                    <xsd:enumeration value="Dr. Rachel Burch"/>
                    <xsd:enumeration value="Dr. S.Davies"/>
                    <xsd:enumeration value="Dr. S.E.Taylor"/>
                    <xsd:enumeration value="E.Allison"/>
                    <xsd:enumeration value="E.Cochrane"/>
                    <xsd:enumeration value="E.Edwards"/>
                    <xsd:enumeration value="E.Fossey"/>
                    <xsd:enumeration value="E.Maxwell"/>
                    <xsd:enumeration value="E.Nicholls"/>
                    <xsd:enumeration value="E.W.Taylor"/>
                    <xsd:enumeration value="EA"/>
                    <xsd:enumeration value="Emi Katoh"/>
                    <xsd:enumeration value="Emma Bradshaw"/>
                    <xsd:enumeration value="Emma Brown"/>
                    <xsd:enumeration value="Emma White"/>
                    <xsd:enumeration value="Enrico Longoni"/>
                    <xsd:enumeration value="Epsom"/>
                    <xsd:enumeration value="Erik Lindebo"/>
                    <xsd:enumeration value="Eunice Pinn"/>
                    <xsd:enumeration value="Eurographic Ltd"/>
                    <xsd:enumeration value="European Food Safety Authority"/>
                    <xsd:enumeration value="F. De Carlo"/>
                    <xsd:enumeration value="F. Forget"/>
                    <xsd:enumeration value="F.Chopin"/>
                    <xsd:enumeration value="F.Dixon"/>
                    <xsd:enumeration value="F.Nimmo"/>
                    <xsd:enumeration value="Fanming Kong"/>
                    <xsd:enumeration value="FERU"/>
                    <xsd:enumeration value="FHF"/>
                    <xsd:enumeration value="Fiona Birch"/>
                    <xsd:enumeration value="Fiona Wright"/>
                    <xsd:enumeration value="Fisheries Research Services"/>
                    <xsd:enumeration value="Fishing News"/>
                    <xsd:enumeration value="FISHupdate"/>
                    <xsd:enumeration value="FPKTN"/>
                    <xsd:enumeration value="Francis Murray"/>
                    <xsd:enumeration value="Francisco Areal"/>
                    <xsd:enumeration value="Frank Armstrong"/>
                    <xsd:enumeration value="FRM Ltd."/>
                    <xsd:enumeration value="G McAllister"/>
                    <xsd:enumeration value="G. Moreno"/>
                    <xsd:enumeration value="G.A.Garthwaite"/>
                    <xsd:enumeration value="G.A.Webb"/>
                    <xsd:enumeration value="G.Bell"/>
                    <xsd:enumeration value="G.C"/>
                    <xsd:enumeration value="G.C.E"/>
                    <xsd:enumeration value="G.Cartwright"/>
                    <xsd:enumeration value="G.Course"/>
                    <xsd:enumeration value="G.Dunlin"/>
                    <xsd:enumeration value="G.Eveillard"/>
                    <xsd:enumeration value="G.F.Jackson"/>
                    <xsd:enumeration value="G.Gough"/>
                    <xsd:enumeration value="G.Mack"/>
                    <xsd:enumeration value="G.McKay"/>
                    <xsd:enumeration value="G.McLeod"/>
                    <xsd:enumeration value="G.P.Arnold"/>
                    <xsd:enumeration value="G.P.Course"/>
                    <xsd:enumeration value="G.Ritchie"/>
                    <xsd:enumeration value="G.Salze"/>
                    <xsd:enumeration value="G.Ward"/>
                    <xsd:enumeration value="Gang Wang"/>
                    <xsd:enumeration value="Gary Dunlin"/>
                    <xsd:enumeration value="Gary Hooper"/>
                    <xsd:enumeration value="Gavin Hatton"/>
                    <xsd:enumeration value="GC"/>
                    <xsd:enumeration value="GDCL"/>
                    <xsd:enumeration value="GMAV"/>
                    <xsd:enumeration value="Gordon Goldsworthy"/>
                    <xsd:enumeration value="Gorkana Group"/>
                    <xsd:enumeration value="Graham Pierce"/>
                    <xsd:enumeration value="GREAT"/>
                    <xsd:enumeration value="Gunnar Þórðarson"/>
                    <xsd:enumeration value="H.E.Bullock"/>
                    <xsd:enumeration value="H.English"/>
                    <xsd:enumeration value="H.McDiarmid"/>
                    <xsd:enumeration value="H.Q"/>
                    <xsd:enumeration value="H.R. Day"/>
                    <xsd:enumeration value="H.R.English"/>
                    <xsd:enumeration value="H.Ritchings"/>
                    <xsd:enumeration value="H.Teepsoo"/>
                    <xsd:enumeration value="H.W"/>
                    <xsd:enumeration value="Hannah Fawcett"/>
                    <xsd:enumeration value="Hannah Shaw"/>
                    <xsd:enumeration value="Hannah Thompson"/>
                    <xsd:enumeration value="Hazel Curtis"/>
                    <xsd:enumeration value="Hazel McShane"/>
                    <xsd:enumeration value="Heat &amp; Power Ltd."/>
                    <xsd:enumeration value="Heather Forbes"/>
                    <xsd:enumeration value="Heather Middleton"/>
                    <xsd:enumeration value="Helen Duggan"/>
                    <xsd:enumeration value="Hepples"/>
                    <xsd:enumeration value="Hilmar Hinz"/>
                    <xsd:enumeration value="HQ"/>
                    <xsd:enumeration value="HRE"/>
                    <xsd:enumeration value="Humber Seafood Institute"/>
                    <xsd:enumeration value="Humberside College of Higher Education"/>
                    <xsd:enumeration value="Hunterston"/>
                    <xsd:enumeration value="I. Berrill"/>
                    <xsd:enumeration value="I.F"/>
                    <xsd:enumeration value="I.Finley"/>
                    <xsd:enumeration value="I.Graham"/>
                    <xsd:enumeration value="I.Milligan"/>
                    <xsd:enumeration value="I.Tatterson"/>
                    <xsd:enumeration value="Iain Berrill (Scottish Salmon Producers Organisation)"/>
                    <xsd:enumeration value="Ian Laing"/>
                    <xsd:enumeration value="ICF"/>
                    <xsd:enumeration value="IFREMER France"/>
                    <xsd:enumeration value="Institute of Aquaculture, University of Stirling"/>
                    <xsd:enumeration value="Institute of Estuarine &amp; Coastal Studies, University of Hull"/>
                    <xsd:enumeration value="International Council for the Exploration of the Sea"/>
                    <xsd:enumeration value="International Society for the Study of Fatty Acids and Lipids"/>
                    <xsd:enumeration value="Ivan Bartolo"/>
                    <xsd:enumeration value="J.A"/>
                    <xsd:enumeration value="J.A.Shalliker"/>
                    <xsd:enumeration value="J.A.Upfield"/>
                    <xsd:enumeration value="J.Anderson"/>
                    <xsd:enumeration value="J.B.R"/>
                    <xsd:enumeration value="J.C"/>
                    <xsd:enumeration value="J.Carrick"/>
                    <xsd:enumeration value="J.Combes"/>
                    <xsd:enumeration value="J.D. Paul"/>
                    <xsd:enumeration value="J.D. Wood"/>
                    <xsd:enumeration value="J.D.Paul"/>
                    <xsd:enumeration value="J.D.Wood"/>
                    <xsd:enumeration value="J.Dunlop"/>
                    <xsd:enumeration value="J.E.B"/>
                    <xsd:enumeration value="J.E.D"/>
                    <xsd:enumeration value="J.E.Dye"/>
                    <xsd:enumeration value="J.E.Tumilty"/>
                    <xsd:enumeration value="J.Early"/>
                    <xsd:enumeration value="J.Eddom"/>
                    <xsd:enumeration value="J.Evans"/>
                    <xsd:enumeration value="J.Foster"/>
                    <xsd:enumeration value="J.Frederickson"/>
                    <xsd:enumeration value="J.Gascoigne"/>
                    <xsd:enumeration value="J.Grant"/>
                    <xsd:enumeration value="J.Grant"/>
                    <xsd:enumeration value="J.H.Brown"/>
                    <xsd:enumeration value="J.Harman"/>
                    <xsd:enumeration value="J.Hatchard"/>
                    <xsd:enumeration value="J.L.R"/>
                    <xsd:enumeration value="J.L.Robertson"/>
                    <xsd:enumeration value="J.Lansley"/>
                    <xsd:enumeration value="J.Lart"/>
                    <xsd:enumeration value="J.Lewis"/>
                    <xsd:enumeration value="J.M"/>
                    <xsd:enumeration value="J.M.Tower"/>
                    <xsd:enumeration value="J.M.Watson"/>
                    <xsd:enumeration value="J.MacMillan"/>
                    <xsd:enumeration value="J.MacNamara"/>
                    <xsd:enumeration value="J.May"/>
                    <xsd:enumeration value="J.McMillan"/>
                    <xsd:enumeration value="J.McNamara"/>
                    <xsd:enumeration value="J.Mikolajunas"/>
                    <xsd:enumeration value="J.Moore"/>
                    <xsd:enumeration value="J.Morris"/>
                    <xsd:enumeration value="J.N.Ward"/>
                    <xsd:enumeration value="J.NcNamara"/>
                    <xsd:enumeration value="J.Paul"/>
                    <xsd:enumeration value="J.R.Dye"/>
                    <xsd:enumeration value="J.R.Gifford"/>
                    <xsd:enumeration value="J.Rice"/>
                    <xsd:enumeration value="J.Rycroft"/>
                    <xsd:enumeration value="J.S"/>
                    <xsd:enumeration value="J.S.S"/>
                    <xsd:enumeration value="J.S.Saether"/>
                    <xsd:enumeration value="J.Shalliker"/>
                    <xsd:enumeration value="J.Sherwood"/>
                    <xsd:enumeration value="J.Slater"/>
                    <xsd:enumeration value="J.Smith"/>
                    <xsd:enumeration value="J.Swarbrick"/>
                    <xsd:enumeration value="J.T"/>
                    <xsd:enumeration value="J.T.Bryson"/>
                    <xsd:enumeration value="J.T.MacMillan"/>
                    <xsd:enumeration value="J.Tower"/>
                    <xsd:enumeration value="J.Treasurer"/>
                    <xsd:enumeration value="J.Tumilty"/>
                    <xsd:enumeration value="J.Upfield"/>
                    <xsd:enumeration value="J.W"/>
                    <xsd:enumeration value="J.W"/>
                    <xsd:enumeration value="J.W.Denton"/>
                    <xsd:enumeration value="J.Waterman"/>
                    <xsd:enumeration value="J.Watson"/>
                    <xsd:enumeration value="Jack Sewell"/>
                    <xsd:enumeration value="James Warwick"/>
                    <xsd:enumeration value="Jason Combes"/>
                    <xsd:enumeration value="Jennifer Russell"/>
                    <xsd:enumeration value="Jennifer Smith"/>
                    <xsd:enumeration value="Jeremy Sparks"/>
                    <xsd:enumeration value="Jim Ellis"/>
                    <xsd:enumeration value="Jim Hyam"/>
                    <xsd:enumeration value="Joe Cooper"/>
                    <xsd:enumeration value="John Anderson"/>
                    <xsd:enumeration value="John Barrington"/>
                    <xsd:enumeration value="John Cotter"/>
                    <xsd:enumeration value="John Foster"/>
                    <xsd:enumeration value="John Hambrey"/>
                    <xsd:enumeration value="John Hingley"/>
                    <xsd:enumeration value="John Lancaster"/>
                    <xsd:enumeration value="John O.S. Kennedy"/>
                    <xsd:enumeration value="John Richardson"/>
                    <xsd:enumeration value="John Wakeford"/>
                    <xsd:enumeration value="Jonas R.Vidarsson"/>
                    <xsd:enumeration value="José L. González Vecino"/>
                    <xsd:enumeration value="JSS"/>
                    <xsd:enumeration value="Julia Brooks"/>
                    <xsd:enumeration value="Julian Swarbrick"/>
                    <xsd:enumeration value="Julie Snowden"/>
                    <xsd:enumeration value="K.Adamson"/>
                    <xsd:enumeration value="K.Anderson"/>
                    <xsd:enumeration value="K.Arkley"/>
                    <xsd:enumeration value="K.C"/>
                    <xsd:enumeration value="K.C.Munday"/>
                    <xsd:enumeration value="K.D.Thompson"/>
                    <xsd:enumeration value="K.Day"/>
                    <xsd:enumeration value="K.Dye"/>
                    <xsd:enumeration value="K.Galloway"/>
                    <xsd:enumeration value="K.Graham"/>
                    <xsd:enumeration value="K.H"/>
                    <xsd:enumeration value="K.H.Haywood"/>
                    <xsd:enumeration value="K.Hairsine"/>
                    <xsd:enumeration value="K.Knox"/>
                    <xsd:enumeration value="K.Mazik"/>
                    <xsd:enumeration value="K.Singh"/>
                    <xsd:enumeration value="K.T.H"/>
                    <xsd:enumeration value="K.T.Howard"/>
                    <xsd:enumeration value="K.Tsontos"/>
                    <xsd:enumeration value="K.Waind"/>
                    <xsd:enumeration value="Karen Galloway"/>
                    <xsd:enumeration value="Karen Green"/>
                    <xsd:enumeration value="Karin Lüdemann/Wissenschaftsbüro"/>
                    <xsd:enumeration value="Kasia Kazimierczak"/>
                    <xsd:enumeration value="Kath Floater"/>
                    <xsd:enumeration value="Keith Hiscock"/>
                    <xsd:enumeration value="Keith Jeffrey"/>
                    <xsd:enumeration value="Ken Arkley"/>
                    <xsd:enumeration value="Kieran Westbrook"/>
                    <xsd:enumeration value="Kimberly Cullen"/>
                    <xsd:enumeration value="Kingfisher Information Services"/>
                    <xsd:enumeration value="Kirsten Milliken"/>
                    <xsd:enumeration value="KPMG AS"/>
                    <xsd:enumeration value="L Ridley"/>
                    <xsd:enumeration value="L. Dagorn"/>
                    <xsd:enumeration value="L.C.Ford"/>
                    <xsd:enumeration value="L.E.Hull"/>
                    <xsd:enumeration value="L.Ford"/>
                    <xsd:enumeration value="L.Hinchliff"/>
                    <xsd:enumeration value="L.Oxley"/>
                    <xsd:enumeration value="L.Pell"/>
                    <xsd:enumeration value="L.Readdy"/>
                    <xsd:enumeration value="L.Rooney"/>
                    <xsd:enumeration value="L.Webb"/>
                    <xsd:enumeration value="LACOTS"/>
                    <xsd:enumeration value="Laurence Rooney"/>
                    <xsd:enumeration value="Leatherhead Food Research"/>
                    <xsd:enumeration value="Lee Cocker"/>
                    <xsd:enumeration value="Lee Cooper"/>
                    <xsd:enumeration value="Lee Hastie"/>
                    <xsd:enumeration value="LEH"/>
                    <xsd:enumeration value="Leslsie Tait"/>
                    <xsd:enumeration value="Lewis Cowie"/>
                    <xsd:enumeration value="Lina-Lotta Lahdenkauppi"/>
                    <xsd:enumeration value="Liu Liping Sang Yanhua"/>
                    <xsd:enumeration value="Llyn Aquaculture Ltd."/>
                    <xsd:enumeration value="Loch Fyne Seafarms"/>
                    <xsd:enumeration value="LOCTS"/>
                    <xsd:enumeration value="Lorena Recio"/>
                    <xsd:enumeration value="Louise Jones"/>
                    <xsd:enumeration value="Louise Vaughan"/>
                    <xsd:enumeration value="Luis Cocas"/>
                    <xsd:enumeration value="Lynn Gilmore"/>
                    <xsd:enumeration value="M. Virgili"/>
                    <xsd:enumeration value="M.A.James"/>
                    <xsd:enumeration value="M.Anyadiegwu"/>
                    <xsd:enumeration value="M.Boulter"/>
                    <xsd:enumeration value="M.C.Platt"/>
                    <xsd:enumeration value="M.D"/>
                    <xsd:enumeration value="M.Daniels"/>
                    <xsd:enumeration value="M.Ellis"/>
                    <xsd:enumeration value="M.Emberton"/>
                    <xsd:enumeration value="M.George"/>
                    <xsd:enumeration value="M.Gillespie"/>
                    <xsd:enumeration value="M.Gray"/>
                    <xsd:enumeration value="M.H"/>
                    <xsd:enumeration value="M.Hamilton"/>
                    <xsd:enumeration value="M.Hatfield"/>
                    <xsd:enumeration value="M.Hayward"/>
                    <xsd:enumeration value="M.Humphrey"/>
                    <xsd:enumeration value="M.J.Campbell"/>
                    <xsd:enumeration value="M.J.Kaiser"/>
                    <xsd:enumeration value="M.J.S.G"/>
                    <xsd:enumeration value="M.James"/>
                    <xsd:enumeration value="M.Large"/>
                    <xsd:enumeration value="M.Lawton"/>
                    <xsd:enumeration value="M.Learmouth"/>
                    <xsd:enumeration value="M.M"/>
                    <xsd:enumeration value="M.Moore"/>
                    <xsd:enumeration value="M.Myers"/>
                    <xsd:enumeration value="M.Platt"/>
                    <xsd:enumeration value="M.Sturges"/>
                    <xsd:enumeration value="M.Syvret"/>
                    <xsd:enumeration value="M.Urch"/>
                    <xsd:enumeration value="M.Whitworth"/>
                    <xsd:enumeration value="MacMullen"/>
                    <xsd:enumeration value="Mafalda Viana"/>
                    <xsd:enumeration value="MAFF"/>
                    <xsd:enumeration value="Magnus L. Johnson"/>
                    <xsd:enumeration value="Malcolm Large"/>
                    <xsd:enumeration value="Mandy Pyke"/>
                    <xsd:enumeration value="Mao Hong"/>
                    <xsd:enumeration value="Marcus Jacklin"/>
                    <xsd:enumeration value="Marine and Coastguard Agency"/>
                    <xsd:enumeration value="Marine Stewardship Council"/>
                    <xsd:enumeration value="Marine Survey"/>
                    <xsd:enumeration value="MARITEK WORLDWIDE LTD"/>
                    <xsd:enumeration value="Mark Edmonds"/>
                    <xsd:enumeration value="Mark Gray"/>
                    <xsd:enumeration value="Mark O’Brien"/>
                    <xsd:enumeration value="Market Insight Team"/>
                    <xsd:enumeration value="Marta Moran Quintana"/>
                    <xsd:enumeration value="Martin Bowes"/>
                    <xsd:enumeration value="Martin Jaffa"/>
                    <xsd:enumeration value="Martin Syvret"/>
                    <xsd:enumeration value="Matthew Service"/>
                    <xsd:enumeration value="Melissa Pritchard"/>
                    <xsd:enumeration value="MH"/>
                    <xsd:enumeration value="Michael Bacon"/>
                    <xsd:enumeration value="Michael Humphrey"/>
                    <xsd:enumeration value="Michael Keatinge"/>
                    <xsd:enumeration value="Michaela Archer"/>
                    <xsd:enumeration value="Michel J.Kaiser"/>
                    <xsd:enumeration value="Mike Mitchell"/>
                    <xsd:enumeration value="Mike Montgomerie"/>
                    <xsd:enumeration value="Mike Park"/>
                    <xsd:enumeration value="Mike Smith"/>
                    <xsd:enumeration value="MRAG"/>
                    <xsd:enumeration value="Ms Amy Ridgeway"/>
                    <xsd:enumeration value="MTS"/>
                    <xsd:enumeration value="N Bailey"/>
                    <xsd:enumeration value="N.A.G"/>
                    <xsd:enumeration value="N.C.H.Lake"/>
                    <xsd:enumeration value="N.Downing"/>
                    <xsd:enumeration value="N.Garbutt"/>
                    <xsd:enumeration value="N.Graham"/>
                    <xsd:enumeration value="N.Hatfield"/>
                    <xsd:enumeration value="N.Kelly"/>
                    <xsd:enumeration value="N.M.K"/>
                    <xsd:enumeration value="N.M.Kerr"/>
                    <xsd:enumeration value="N.McEwan"/>
                    <xsd:enumeration value="N.McKeller"/>
                    <xsd:enumeration value="N.R.Halford"/>
                    <xsd:enumeration value="N.Ward"/>
                    <xsd:enumeration value="N.Whiteley"/>
                    <xsd:enumeration value="N.Wood"/>
                    <xsd:enumeration value="NAFC Marine Centre"/>
                    <xsd:enumeration value="Naomi McCann"/>
                    <xsd:enumeration value="Nathan de Rozarieux"/>
                    <xsd:enumeration value="National Health and Family Planning Commission"/>
                    <xsd:enumeration value="Nautilus Consultants"/>
                    <xsd:enumeration value="NFFO Services Ltd."/>
                    <xsd:enumeration value="NI Seafood Ind"/>
                    <xsd:enumeration value="Nia Whiteley"/>
                    <xsd:enumeration value="Nick Connelly"/>
                    <xsd:enumeration value="Nick Patience"/>
                    <xsd:enumeration value="Nofima"/>
                    <xsd:enumeration value="Norge"/>
                    <xsd:enumeration value="Norman"/>
                    <xsd:enumeration value="North Bay Shellfish Ltd"/>
                    <xsd:enumeration value="Northern Ireland Seafood"/>
                    <xsd:enumeration value="Not known"/>
                    <xsd:enumeration value="NSL"/>
                    <xsd:enumeration value="OceanWatch Australia"/>
                    <xsd:enumeration value="Oliver Tulley"/>
                    <xsd:enumeration value="Omnimas"/>
                    <xsd:enumeration value="Oscar Wilkie"/>
                    <xsd:enumeration value="Othniel Shellfish"/>
                    <xsd:enumeration value="P Gibson"/>
                    <xsd:enumeration value="P. Tyedmers (Dalhousie University)"/>
                    <xsd:enumeration value="P.B.Gallacher"/>
                    <xsd:enumeration value="P.Baird"/>
                    <xsd:enumeration value="P.Brown"/>
                    <xsd:enumeration value="P.C.Smith"/>
                    <xsd:enumeration value="P.D.Chaplin"/>
                    <xsd:enumeration value="P.G"/>
                    <xsd:enumeration value="P.G.W"/>
                    <xsd:enumeration value="P.Gatland"/>
                    <xsd:enumeration value="P.H.B"/>
                    <xsd:enumeration value="P.H.MacMullen"/>
                    <xsd:enumeration value="P.J.G"/>
                    <xsd:enumeration value="P.J.Hearn"/>
                    <xsd:enumeration value="P.Johnson"/>
                    <xsd:enumeration value="P.L. Newland"/>
                    <xsd:enumeration value="P.L.S"/>
                    <xsd:enumeration value="P.L.Smith"/>
                    <xsd:enumeration value="P.MacMullen"/>
                    <xsd:enumeration value="P.Math's"/>
                    <xsd:enumeration value="P.N"/>
                    <xsd:enumeration value="P.Neve"/>
                    <xsd:enumeration value="P.Posen"/>
                    <xsd:enumeration value="P.Prout"/>
                    <xsd:enumeration value="P.S"/>
                    <xsd:enumeration value="P.Smith"/>
                    <xsd:enumeration value="P.T.Franklin"/>
                    <xsd:enumeration value="P.Tiffney"/>
                    <xsd:enumeration value="P.Townend"/>
                    <xsd:enumeration value="P.V"/>
                    <xsd:enumeration value="P.W"/>
                    <xsd:enumeration value="P.Watson"/>
                    <xsd:enumeration value="P.Watts"/>
                    <xsd:enumeration value="P.White"/>
                    <xsd:enumeration value="P.Wilson"/>
                    <xsd:enumeration value="P.Wood"/>
                    <xsd:enumeration value="Paul Buckley (Marine Climate Change Impacts Partnership)"/>
                    <xsd:enumeration value="Paul Butler"/>
                    <xsd:enumeration value="Paul Medley"/>
                    <xsd:enumeration value="Paul Neve"/>
                    <xsd:enumeration value="Peter Tarrant"/>
                    <xsd:enumeration value="Peter Tyndall"/>
                    <xsd:enumeration value="Peter Walker"/>
                    <xsd:enumeration value="Peter Warren"/>
                    <xsd:enumeration value="Peter Wilson"/>
                    <xsd:enumeration value="Phil MacMullen"/>
                    <xsd:enumeration value="Phil Prout"/>
                    <xsd:enumeration value="Phillip Quirie"/>
                    <xsd:enumeration value="Pingguo He"/>
                    <xsd:enumeration value="PIRA"/>
                    <xsd:enumeration value="PIRA International"/>
                    <xsd:enumeration value="PJH"/>
                    <xsd:enumeration value="Platt"/>
                    <xsd:enumeration value="Plymouth Poly"/>
                    <xsd:enumeration value="Porter"/>
                    <xsd:enumeration value="Poseidon Aquatic Resource Management Ltd."/>
                    <xsd:enumeration value="Poseidon ARM and BTS"/>
                    <xsd:enumeration value="Prof. Michel J.Kaiser"/>
                    <xsd:enumeration value="Professor Laurence Mee"/>
                    <xsd:enumeration value="PT"/>
                    <xsd:enumeration value="Pyke and Deane Aquaculture Consultants"/>
                    <xsd:enumeration value="Qiang Weiguo"/>
                    <xsd:enumeration value="Qing Lv"/>
                    <xsd:enumeration value="Quality Assurance Department"/>
                    <xsd:enumeration value="R J Fryer"/>
                    <xsd:enumeration value="R J Kynoch"/>
                    <xsd:enumeration value="R Johnson"/>
                    <xsd:enumeration value="R S T Ferro"/>
                    <xsd:enumeration value="R. Land"/>
                    <xsd:enumeration value="R. Parker (Dalhousie University)"/>
                    <xsd:enumeration value="R.A.Reese"/>
                    <xsd:enumeration value="R.B.Watt"/>
                    <xsd:enumeration value="R.Bennett"/>
                    <xsd:enumeration value="R.Boyle"/>
                    <xsd:enumeration value="R.Bricknell"/>
                    <xsd:enumeration value="R.C"/>
                    <xsd:enumeration value="R.C"/>
                    <xsd:enumeration value="R.Campbell"/>
                    <xsd:enumeration value="R.Cappell"/>
                    <xsd:enumeration value="R.Curtis"/>
                    <xsd:enumeration value="R.D.E"/>
                    <xsd:enumeration value="R.E"/>
                    <xsd:enumeration value="R.Ellis"/>
                    <xsd:enumeration value="R.Enever"/>
                    <xsd:enumeration value="R.F"/>
                    <xsd:enumeration value="R.F.V"/>
                    <xsd:enumeration value="R.Finbow"/>
                    <xsd:enumeration value="R.Forster"/>
                    <xsd:enumeration value="R.Gara"/>
                    <xsd:enumeration value="R.H"/>
                    <xsd:enumeration value="R.Hill"/>
                    <xsd:enumeration value="R.Horton"/>
                    <xsd:enumeration value="R.J"/>
                    <xsd:enumeration value="R.J.A. Nichol"/>
                    <xsd:enumeration value="R.J.A.N"/>
                    <xsd:enumeration value="R.J.A.Nicholson"/>
                    <xsd:enumeration value="R.J.Shields"/>
                    <xsd:enumeration value="R.J.Slaski"/>
                    <xsd:enumeration value="R.Johnson"/>
                    <xsd:enumeration value="R.L"/>
                    <xsd:enumeration value="R.Leach"/>
                    <xsd:enumeration value="R.Lee"/>
                    <xsd:enumeration value="R.McCormack"/>
                    <xsd:enumeration value="R.McK"/>
                    <xsd:enumeration value="R.McM"/>
                    <xsd:enumeration value="R.Mounce"/>
                    <xsd:enumeration value="R.N"/>
                    <xsd:enumeration value="R.Nicholson"/>
                    <xsd:enumeration value="R.Pryor"/>
                    <xsd:enumeration value="R.S Batty"/>
                    <xsd:enumeration value="R.S.Horton"/>
                    <xsd:enumeration value="R.S.Mounce"/>
                    <xsd:enumeration value="R.S.T.Ferro"/>
                    <xsd:enumeration value="R.S.Walker"/>
                    <xsd:enumeration value="R.Seidel"/>
                    <xsd:enumeration value="R.Slaski"/>
                    <xsd:enumeration value="R.Uglow"/>
                    <xsd:enumeration value="R.W.Ellis"/>
                    <xsd:enumeration value="R.White"/>
                    <xsd:enumeration value="R.Whiteley"/>
                    <xsd:enumeration value="Rannva Danielsen"/>
                    <xsd:enumeration value="RB"/>
                    <xsd:enumeration value="Rebecca Harris"/>
                    <xsd:enumeration value="Richard Briggs"/>
                    <xsd:enumeration value="Richard Caslake"/>
                    <xsd:enumeration value="Richard Curtin"/>
                    <xsd:enumeration value="Richard L Shelmerdine"/>
                    <xsd:enumeration value="Richard Wardell"/>
                    <xsd:enumeration value="Richard Watson"/>
                    <xsd:enumeration value="RJA"/>
                    <xsd:enumeration value="Rjan"/>
                    <xsd:enumeration value="Rjan"/>
                    <xsd:enumeration value="RML Gratacap"/>
                    <xsd:enumeration value="Rob Tinch"/>
                    <xsd:enumeration value="Robert Clark"/>
                    <xsd:enumeration value="Robert Dawe"/>
                    <xsd:enumeration value="Robert Gillett"/>
                    <xsd:enumeration value="Robert Young"/>
                    <xsd:enumeration value="Rod Cappell"/>
                    <xsd:enumeration value="Roger B. Larsen"/>
                    <xsd:enumeration value="Roger Plant"/>
                    <xsd:enumeration value="Ronán Cosgrove"/>
                    <xsd:enumeration value="Roy Sutherland"/>
                    <xsd:enumeration value="RvZ"/>
                    <xsd:enumeration value="S M Anton"/>
                    <xsd:enumeration value="S. Anton (Seafish)"/>
                    <xsd:enumeration value="S.A.Horsfall"/>
                    <xsd:enumeration value="S.Antezana"/>
                    <xsd:enumeration value="S.Anton"/>
                    <xsd:enumeration value="S.Bark"/>
                    <xsd:enumeration value="S.D.Utting"/>
                    <xsd:enumeration value="S.Fiddy"/>
                    <xsd:enumeration value="S.H"/>
                    <xsd:enumeration value="S.Hepples"/>
                    <xsd:enumeration value="S.Hookam"/>
                    <xsd:enumeration value="S.Horsfall"/>
                    <xsd:enumeration value="S.K"/>
                    <xsd:enumeration value="S.Kingwell"/>
                    <xsd:enumeration value="S.Macinko"/>
                    <xsd:enumeration value="S.Metz"/>
                    <xsd:enumeration value="S.Millar"/>
                    <xsd:enumeration value="S.R"/>
                    <xsd:enumeration value="S.Ross-Smith"/>
                    <xsd:enumeration value="S.Shepherd"/>
                    <xsd:enumeration value="S.Sheppard Fidler"/>
                    <xsd:enumeration value="S.T.H"/>
                    <xsd:enumeration value="S.Walmsley"/>
                    <xsd:enumeration value="S.Wyman"/>
                    <xsd:enumeration value="S.Xu"/>
                    <xsd:enumeration value="SAGB"/>
                    <xsd:enumeration value="Sam Rush"/>
                    <xsd:enumeration value="Samuel Shephard"/>
                    <xsd:enumeration value="Sansanee Wangvoralak"/>
                    <xsd:enumeration value="Sarah Horsfall"/>
                    <xsd:enumeration value="SC Mangi"/>
                    <xsd:enumeration value="Scottish Association for Marine Science"/>
                    <xsd:enumeration value="Sea Fish Industrial Development Unit"/>
                    <xsd:enumeration value="Sea Fish Industry Authority"/>
                    <xsd:enumeration value="Seafish"/>
                    <xsd:enumeration value="Seafish Aquaculture"/>
                    <xsd:enumeration value="Seafish Corporate Comms"/>
                    <xsd:enumeration value="Seafish Economics"/>
                    <xsd:enumeration value="Seafish Gear Technology"/>
                    <xsd:enumeration value="Seafish Industrial Development Unit"/>
                    <xsd:enumeration value="Seafish Legislation"/>
                    <xsd:enumeration value="Seafish Marine Services"/>
                    <xsd:enumeration value="Seafish Market Insight"/>
                    <xsd:enumeration value="Seafish Marketing"/>
                    <xsd:enumeration value="Seafish Marketing and Reynier Research Ltd."/>
                    <xsd:enumeration value="Seafish Marketing Communications"/>
                    <xsd:enumeration value="Seafish R &amp; D"/>
                    <xsd:enumeration value="Seafish Technology"/>
                    <xsd:enumeration value="Seafish Training"/>
                    <xsd:enumeration value="Seafood 2040"/>
                    <xsd:enumeration value="Seafood Scotland"/>
                    <xsd:enumeration value="Sébastien Metz"/>
                    <xsd:enumeration value="SFIA"/>
                    <xsd:enumeration value="SFIA Hull"/>
                    <xsd:enumeration value="SFIA Industrial Development Unit"/>
                    <xsd:enumeration value="Shaoping Gu"/>
                    <xsd:enumeration value="Sharon Burke"/>
                    <xsd:enumeration value="Shaun Doran"/>
                    <xsd:enumeration value="Shellfish Association of Great Britain"/>
                    <xsd:enumeration value="Shellfish Committee"/>
                    <xsd:enumeration value="Shipowner Ltd."/>
                    <xsd:enumeration value="Simon Mardle"/>
                    <xsd:enumeration value="Simon Potten"/>
                    <xsd:enumeration value="Simon Wadsworth"/>
                    <xsd:enumeration value="SINTEF Fisheries and Aquaculture"/>
                    <xsd:enumeration value="SK"/>
                    <xsd:enumeration value="SMillar"/>
                    <xsd:enumeration value="SMRU"/>
                    <xsd:enumeration value="SOAEFD"/>
                    <xsd:enumeration value="SOAFD"/>
                    <xsd:enumeration value="Solway Marine Oysters"/>
                    <xsd:enumeration value="Sophie des Clers"/>
                    <xsd:enumeration value="Sophy McCully"/>
                    <xsd:enumeration value="Stephen Lockwood"/>
                    <xsd:enumeration value="Steve Eayrs"/>
                    <xsd:enumeration value="Steve Lawrence"/>
                    <xsd:enumeration value="Steven Votier"/>
                    <xsd:enumeration value="Stirling University"/>
                    <xsd:enumeration value="Struan Noble"/>
                    <xsd:enumeration value="Stuart Masson"/>
                    <xsd:enumeration value="Sue Evans"/>
                    <xsd:enumeration value="Sue Utting"/>
                    <xsd:enumeration value="Susan Anton"/>
                    <xsd:enumeration value="Sussex Sea Fisheries District Committee"/>
                    <xsd:enumeration value="Suzi Pegg"/>
                    <xsd:enumeration value="Suzi Pegg-Darlison"/>
                    <xsd:enumeration value="Sven Koschinski/Meereszoologie"/>
                    <xsd:enumeration value="T.Abram"/>
                    <xsd:enumeration value="T.E.White"/>
                    <xsd:enumeration value="T.Eggett"/>
                    <xsd:enumeration value="T.Goodwin"/>
                    <xsd:enumeration value="T.Gross"/>
                    <xsd:enumeration value="T.H.Birkbeck"/>
                    <xsd:enumeration value="T.H.Porter"/>
                    <xsd:enumeration value="T.L Catchpole"/>
                    <xsd:enumeration value="T.Misson"/>
                    <xsd:enumeration value="T.O"/>
                    <xsd:enumeration value="T.Raylor"/>
                    <xsd:enumeration value="T.Rossiter"/>
                    <xsd:enumeration value="T.S.O"/>
                    <xsd:enumeration value="T.W"/>
                    <xsd:enumeration value="T.Wieland"/>
                    <xsd:enumeration value="T.Wray"/>
                    <xsd:enumeration value="Tara McCarthy"/>
                    <xsd:enumeration value="Tegen Mor Fisheries Consultants"/>
                    <xsd:enumeration value="The Fraser of Allander Institute for Research on the Scottish Economy"/>
                    <xsd:enumeration value="The National Health and Family Planning Commission of the People’s Republic of China"/>
                    <xsd:enumeration value="The Sea Fish Industry Authority"/>
                    <xsd:enumeration value="The Shellfish Association of Great Britain"/>
                    <xsd:enumeration value="Thomas Breithaupt"/>
                    <xsd:enumeration value="Thomas Clifford"/>
                    <xsd:enumeration value="Tim Huntingdon"/>
                    <xsd:enumeration value="Tom Catchpole"/>
                    <xsd:enumeration value="Tom Pickerell"/>
                    <xsd:enumeration value="Tom Rossiter"/>
                    <xsd:enumeration value="Tony Garthwaite"/>
                    <xsd:enumeration value="Tony Legg CIBiol MIBiol MIFM"/>
                    <xsd:enumeration value="Tristan Southall"/>
                    <xsd:enumeration value="Tsvetina Yordanova"/>
                    <xsd:enumeration value="UK Association of Frozen Food Producers"/>
                    <xsd:enumeration value="Ulrik Jes Hansen"/>
                    <xsd:enumeration value="University of Aberdeen, School of Biological Sciences"/>
                    <xsd:enumeration value="University of Hull"/>
                    <xsd:enumeration value="Unknown"/>
                    <xsd:enumeration value="V. Restrepo"/>
                    <xsd:enumeration value="Vericatch"/>
                    <xsd:enumeration value="Víctor Restrepo"/>
                    <xsd:enumeration value="W R Turrell"/>
                    <xsd:enumeration value="W.Brugge"/>
                    <xsd:enumeration value="W.D"/>
                    <xsd:enumeration value="W.Denton"/>
                    <xsd:enumeration value="W.E.Taylor"/>
                    <xsd:enumeration value="W.M.Broncke"/>
                    <xsd:enumeration value="W.O.C"/>
                    <xsd:enumeration value="W.Phillips"/>
                    <xsd:enumeration value="W.Roy"/>
                    <xsd:enumeration value="W.Siddle"/>
                    <xsd:enumeration value="W.Smith"/>
                    <xsd:enumeration value="W.Yu"/>
                    <xsd:enumeration value="Wade Whitelaw"/>
                    <xsd:enumeration value="Walter Crozier"/>
                    <xsd:enumeration value="WD"/>
                    <xsd:enumeration value="Welsh Fishing Safety Committee in collaboration with Seafish (EMFF funding via Welsh Government)"/>
                    <xsd:enumeration value="WFA Industrial Development Unit"/>
                    <xsd:enumeration value="Wilber R. Seidel"/>
                    <xsd:enumeration value="William Lart"/>
                    <xsd:enumeration value="WS"/>
                    <xsd:enumeration value="Xiao Chen"/>
                    <xsd:enumeration value="Xiaowei Shi"/>
                    <xsd:enumeration value="Yang Huifen"/>
                    <xsd:enumeration value="Yolanda Corripio Miyar"/>
                    <xsd:enumeration value="Youngs Sea Foods"/>
                    <xsd:enumeration value="Yuan Aiping"/>
                    <xsd:enumeration value="Z.Wu"/>
                    <xsd:enumeration value="Zoe Healey"/>
                  </xsd:restriction>
                </xsd:simpleType>
              </xsd:element>
            </xsd:sequence>
          </xsd:extension>
        </xsd:complexContent>
      </xsd:complexType>
    </xsd:element>
    <xsd:element name="MediaFormatOld" ma:index="7" nillable="true" ma:displayName="Media Format Old" ma:internalName="MediaFormatOld">
      <xsd:simpleType>
        <xsd:restriction base="dms:Text"/>
      </xsd:simpleType>
    </xsd:element>
    <xsd:element name="PublicationRefNo" ma:index="8" nillable="true" ma:displayName="Publication Reference Number" ma:internalName="PublicationRefNo">
      <xsd:simpleType>
        <xsd:restriction base="dms:Text"/>
      </xsd:simpleType>
    </xsd:element>
    <xsd:element name="ISBN" ma:index="9" nillable="true" ma:displayName="ISBN" ma:internalName="ISBN">
      <xsd:simpleType>
        <xsd:restriction base="dms:Text"/>
      </xsd:simpleType>
    </xsd:element>
    <xsd:element name="LegacyId" ma:index="10" nillable="true" ma:displayName="Legacy Id" ma:hidden="true" ma:internalName="LegacyId" ma:readOnly="false">
      <xsd:simpleType>
        <xsd:restriction base="dms:Text"/>
      </xsd:simpleType>
    </xsd:element>
    <xsd:element name="PubMonth" ma:index="11" nillable="true" ma:displayName="Publication Month" ma:hidden="true" ma:internalName="PubMonth" ma:readOnly="false">
      <xsd:simpleType>
        <xsd:restriction base="dms:Text"/>
      </xsd:simpleType>
    </xsd:element>
    <xsd:element name="PubYear" ma:index="12" nillable="true" ma:displayName="Publication Year" ma:hidden="true" ma:indexed="true" ma:internalName="PubYear">
      <xsd:simpleType>
        <xsd:restriction base="dms:Text"/>
      </xsd:simpleType>
    </xsd:element>
    <xsd:element name="MediaFormat" ma:index="13" nillable="true" ma:displayName="Media Format" ma:default="" ma:format="Dropdown" ma:internalName="MediaFormat">
      <xsd:simpleType>
        <xsd:restriction base="dms:Choice">
          <xsd:enumeration value="Download"/>
          <xsd:enumeration value="CD"/>
          <xsd:enumeration value="Web Page"/>
          <xsd:enumeration value="Paper"/>
          <xsd:enumeration value="Booklet or leaflet"/>
          <xsd:enumeration value="Other"/>
          <xsd:enumeration value="Not known"/>
          <xsd:enumeration value="Book"/>
          <xsd:enumeration value="Video"/>
          <xsd:enumeration value="Manual"/>
          <xsd:enumeration value="Open learning module"/>
          <xsd:enumeration value="Distance learning pack"/>
          <xsd:enumeration value="OLM with video"/>
          <xsd:enumeration value="DVD"/>
        </xsd:restriction>
      </xsd:simpleType>
    </xsd:element>
    <xsd:element name="DocumentAdded" ma:index="14" ma:displayName="Added" ma:format="DateOnly" ma:indexed="true" ma:internalName="DocumentAdded">
      <xsd:simpleType>
        <xsd:restriction base="dms:DateTime"/>
      </xsd:simpleType>
    </xsd:element>
    <xsd:element name="DocumentStatus" ma:index="15" nillable="true" ma:displayName="Document Status" ma:default="Unpublished" ma:format="Dropdown" ma:indexed="true" ma:internalName="DocumentStatus">
      <xsd:simpleType>
        <xsd:restriction base="dms:Choice">
          <xsd:enumeration value="Deleted"/>
          <xsd:enumeration value="Unpublished"/>
          <xsd:enumeration value="Published"/>
          <xsd:enumeration value="Archived"/>
        </xsd:restriction>
      </xsd:simple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4c1e97c-7a75-4aca-9712-5efb9ef450ab"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ObjectDetectorVersions" ma:index="3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Year xmlns="cebd32e3-9ab6-41ee-b1af-b8405a8d4e68" xsi:nil="true"/>
    <MediaFormatOld xmlns="cebd32e3-9ab6-41ee-b1af-b8405a8d4e68">PDF</MediaFormatOld>
    <DocumentTopic xmlns="cebd32e3-9ab6-41ee-b1af-b8405a8d4e68">
      <Value>Economics and Business</Value>
      <Value>Factsheet/Datasheet</Value>
    </DocumentTopic>
    <ISBN xmlns="cebd32e3-9ab6-41ee-b1af-b8405a8d4e68" xsi:nil="true"/>
    <DocumentStatus xmlns="cebd32e3-9ab6-41ee-b1af-b8405a8d4e68">Published</DocumentStatus>
    <PublicationDate xmlns="cebd32e3-9ab6-41ee-b1af-b8405a8d4e68">2022-07-03T23:00:00+00:00</PublicationDate>
    <PubMonth xmlns="cebd32e3-9ab6-41ee-b1af-b8405a8d4e68" xsi:nil="true"/>
    <DocumentAdded xmlns="cebd32e3-9ab6-41ee-b1af-b8405a8d4e68">2022-07-03T23:00:00+00:00</DocumentAdded>
    <PublicationRefNo xmlns="cebd32e3-9ab6-41ee-b1af-b8405a8d4e68" xsi:nil="true"/>
    <DocumentAuthors xmlns="cebd32e3-9ab6-41ee-b1af-b8405a8d4e68">
      <Value>Arina Motova</Value>
    </DocumentAuthors>
    <LegacyId xmlns="cebd32e3-9ab6-41ee-b1af-b8405a8d4e68" xsi:nil="true"/>
    <DocumentSummary xmlns="cebd32e3-9ab6-41ee-b1af-b8405a8d4e68">This dataset presents data on annual economic performance for the UK fishing fleet from 2011 to 2021. The estimates are calculated based on samples of fishing costs and earnings gathered by Seafish as part of the 2020 Annual Fleet Economic Survey.</DocumentSummary>
    <MediaFormat xmlns="cebd32e3-9ab6-41ee-b1af-b8405a8d4e68">Download</MediaFormat>
  </documentManagement>
</p:properties>
</file>

<file path=customXml/itemProps1.xml><?xml version="1.0" encoding="utf-8"?>
<ds:datastoreItem xmlns:ds="http://schemas.openxmlformats.org/officeDocument/2006/customXml" ds:itemID="{22D3AB30-7459-40C6-A582-51BCA253FC0A}"/>
</file>

<file path=customXml/itemProps2.xml><?xml version="1.0" encoding="utf-8"?>
<ds:datastoreItem xmlns:ds="http://schemas.openxmlformats.org/officeDocument/2006/customXml" ds:itemID="{CF6893AD-8D4F-4281-9067-F6613AEB5BCB}">
  <ds:schemaRefs>
    <ds:schemaRef ds:uri="http://schemas.microsoft.com/sharepoint/v3/contenttype/forms"/>
  </ds:schemaRefs>
</ds:datastoreItem>
</file>

<file path=customXml/itemProps3.xml><?xml version="1.0" encoding="utf-8"?>
<ds:datastoreItem xmlns:ds="http://schemas.openxmlformats.org/officeDocument/2006/customXml" ds:itemID="{389B72C1-EC74-4D9C-80BC-711FD263AE82}">
  <ds:schemaRefs>
    <ds:schemaRef ds:uri="http://schemas.microsoft.com/office/2006/metadata/properties"/>
    <ds:schemaRef ds:uri="http://schemas.microsoft.com/office/infopath/2007/PartnerControls"/>
    <ds:schemaRef ds:uri="bee96656-3361-4bd2-a8d9-12c28989bbc5"/>
    <ds:schemaRef ds:uri="594ab490-3c14-469b-b1b9-1110122815d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70</vt:i4>
      </vt:variant>
    </vt:vector>
  </HeadingPairs>
  <TitlesOfParts>
    <vt:vector size="109" baseType="lpstr">
      <vt:lpstr>Contents</vt:lpstr>
      <vt:lpstr>Notes</vt:lpstr>
      <vt:lpstr>Highlights</vt:lpstr>
      <vt:lpstr>Segmentation Criteria</vt:lpstr>
      <vt:lpstr>Summary 2020</vt:lpstr>
      <vt:lpstr>Summary 2021</vt:lpstr>
      <vt:lpstr>Area VIIa demersal trawl</vt:lpstr>
      <vt:lpstr>Area VIIa nephrops o250kW</vt:lpstr>
      <vt:lpstr>Area VIIa nephrops u250kW</vt:lpstr>
      <vt:lpstr>Area VIIb-k trawlers 24-40m</vt:lpstr>
      <vt:lpstr>Area VIIb-k trawlers 10-24m</vt:lpstr>
      <vt:lpstr>Gill netters</vt:lpstr>
      <vt:lpstr>Longliners</vt:lpstr>
      <vt:lpstr>Low activity over 10m</vt:lpstr>
      <vt:lpstr>Low activity under 10m</vt:lpstr>
      <vt:lpstr>NS beam trawl over 300kW</vt:lpstr>
      <vt:lpstr>NS beam trawl under 300kW</vt:lpstr>
      <vt:lpstr>NS nephrops over 300kW</vt:lpstr>
      <vt:lpstr>NS nephrops under 300kW</vt:lpstr>
      <vt:lpstr>NSWOS demersal over 24m</vt:lpstr>
      <vt:lpstr>NSWOS dem pair trawl seine</vt:lpstr>
      <vt:lpstr>NSWOS demersal seiners</vt:lpstr>
      <vt:lpstr>NSWOS demersal u24m o300kW</vt:lpstr>
      <vt:lpstr>NSWOS demersal u24m u300kW</vt:lpstr>
      <vt:lpstr>Pots and traps 10-12m</vt:lpstr>
      <vt:lpstr>Pots and traps over 12m</vt:lpstr>
      <vt:lpstr>South West beamers o250kW</vt:lpstr>
      <vt:lpstr>South West beamers u250kW</vt:lpstr>
      <vt:lpstr>UK scallop dredge over 15m</vt:lpstr>
      <vt:lpstr>UK scallop dredge under 15m</vt:lpstr>
      <vt:lpstr>U10m demersal trawl-seine</vt:lpstr>
      <vt:lpstr>U10m drift-fixed nets</vt:lpstr>
      <vt:lpstr>U10m pots and traps</vt:lpstr>
      <vt:lpstr>U10m using hooks</vt:lpstr>
      <vt:lpstr>WOS nephrops over 250kW</vt:lpstr>
      <vt:lpstr>WOS nephrops under 250kW</vt:lpstr>
      <vt:lpstr>Sample rates</vt:lpstr>
      <vt:lpstr>Operating profit margin</vt:lpstr>
      <vt:lpstr>Net profit margin</vt:lpstr>
      <vt:lpstr>Area_VIIa_demersal_trawl</vt:lpstr>
      <vt:lpstr>Area_VIIa_nephrops_o250kW</vt:lpstr>
      <vt:lpstr>Area_VIIa_nephrops_u250kW</vt:lpstr>
      <vt:lpstr>Area_VIIb_k_trawlers_10_24m</vt:lpstr>
      <vt:lpstr>Area_VIIb_k_trawlers_24_40m</vt:lpstr>
      <vt:lpstr>Gill_netters</vt:lpstr>
      <vt:lpstr>Highlights</vt:lpstr>
      <vt:lpstr>Home_page</vt:lpstr>
      <vt:lpstr>Longliners</vt:lpstr>
      <vt:lpstr>Low_activity_over_10m</vt:lpstr>
      <vt:lpstr>Low_activity_under_10m</vt:lpstr>
      <vt:lpstr>Net_profit_margin</vt:lpstr>
      <vt:lpstr>Notes</vt:lpstr>
      <vt:lpstr>NS_beam_trawl_over_300kW</vt:lpstr>
      <vt:lpstr>NS_beam_trawl_under_300kW</vt:lpstr>
      <vt:lpstr>NS_nephrops_over_300kW</vt:lpstr>
      <vt:lpstr>NS_nephrops_under_300kW</vt:lpstr>
      <vt:lpstr>NSWOS_dem_pair_trawl_seine</vt:lpstr>
      <vt:lpstr>NSWOS_demersal_over_24m</vt:lpstr>
      <vt:lpstr>NSWOS_demersal_seiners</vt:lpstr>
      <vt:lpstr>NSWOS_demersal_u24m_o300kW</vt:lpstr>
      <vt:lpstr>NSWOS_demersal_u24m_u300kW</vt:lpstr>
      <vt:lpstr>Operating_profit_margin</vt:lpstr>
      <vt:lpstr>Pots_and_traps_10_12m</vt:lpstr>
      <vt:lpstr>Pots_and_traps_over_12m</vt:lpstr>
      <vt:lpstr>'Area VIIa demersal trawl'!Print_Area</vt:lpstr>
      <vt:lpstr>'Area VIIa nephrops o250kW'!Print_Area</vt:lpstr>
      <vt:lpstr>'Area VIIa nephrops u250kW'!Print_Area</vt:lpstr>
      <vt:lpstr>'Area VIIb-k trawlers 10-24m'!Print_Area</vt:lpstr>
      <vt:lpstr>'Area VIIb-k trawlers 24-40m'!Print_Area</vt:lpstr>
      <vt:lpstr>'Gill netters'!Print_Area</vt:lpstr>
      <vt:lpstr>Highlights!Print_Area</vt:lpstr>
      <vt:lpstr>Longliners!Print_Area</vt:lpstr>
      <vt:lpstr>'Low activity over 10m'!Print_Area</vt:lpstr>
      <vt:lpstr>'Low activity under 10m'!Print_Area</vt:lpstr>
      <vt:lpstr>Notes!Print_Area</vt:lpstr>
      <vt:lpstr>'NS beam trawl over 300kW'!Print_Area</vt:lpstr>
      <vt:lpstr>'NS beam trawl under 300kW'!Print_Area</vt:lpstr>
      <vt:lpstr>'NS nephrops over 300kW'!Print_Area</vt:lpstr>
      <vt:lpstr>'NS nephrops under 300kW'!Print_Area</vt:lpstr>
      <vt:lpstr>'NSWOS dem pair trawl seine'!Print_Area</vt:lpstr>
      <vt:lpstr>'NSWOS demersal over 24m'!Print_Area</vt:lpstr>
      <vt:lpstr>'NSWOS demersal seiners'!Print_Area</vt:lpstr>
      <vt:lpstr>'NSWOS demersal u24m o300kW'!Print_Area</vt:lpstr>
      <vt:lpstr>'NSWOS demersal u24m u300kW'!Print_Area</vt:lpstr>
      <vt:lpstr>'Pots and traps 10-12m'!Print_Area</vt:lpstr>
      <vt:lpstr>'Pots and traps over 12m'!Print_Area</vt:lpstr>
      <vt:lpstr>'South West beamers o250kW'!Print_Area</vt:lpstr>
      <vt:lpstr>'South West beamers u250kW'!Print_Area</vt:lpstr>
      <vt:lpstr>'U10m demersal trawl-seine'!Print_Area</vt:lpstr>
      <vt:lpstr>'U10m drift-fixed nets'!Print_Area</vt:lpstr>
      <vt:lpstr>'U10m pots and traps'!Print_Area</vt:lpstr>
      <vt:lpstr>'U10m using hooks'!Print_Area</vt:lpstr>
      <vt:lpstr>'UK scallop dredge over 15m'!Print_Area</vt:lpstr>
      <vt:lpstr>'UK scallop dredge under 15m'!Print_Area</vt:lpstr>
      <vt:lpstr>'WOS nephrops over 250kW'!Print_Area</vt:lpstr>
      <vt:lpstr>'WOS nephrops under 250kW'!Print_Area</vt:lpstr>
      <vt:lpstr>Sample_rates</vt:lpstr>
      <vt:lpstr>South_West_beamers_o250kW</vt:lpstr>
      <vt:lpstr>South_West_beamers_u250kW</vt:lpstr>
      <vt:lpstr>Summary_last</vt:lpstr>
      <vt:lpstr>Summary_projection</vt:lpstr>
      <vt:lpstr>U10m_demersal_trawl_seine</vt:lpstr>
      <vt:lpstr>U10m_drift_fixed_nets</vt:lpstr>
      <vt:lpstr>U10m_pots_and_traps</vt:lpstr>
      <vt:lpstr>U10m_using_hooks</vt:lpstr>
      <vt:lpstr>UK_scallop_dredge_over_15m</vt:lpstr>
      <vt:lpstr>UK_scallop_dredge_under_15m</vt:lpstr>
      <vt:lpstr>WOS_nephrops_over_250kW</vt:lpstr>
      <vt:lpstr>WOS_nephrops_under_250kW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Multi annual UK fishing fleet estimates 2011 - 2021</dc:title>
  <dc:creator>Arina Motova</dc:creator>
  <cp:lastModifiedBy>Graham Anderson</cp:lastModifiedBy>
  <dcterms:created xsi:type="dcterms:W3CDTF">2022-06-23T15:00:24Z</dcterms:created>
  <dcterms:modified xsi:type="dcterms:W3CDTF">2022-07-04T15:06:06Z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0x010100FBC0F8BFD01A91498CA7837A71EEDFDB0100D8D74AD133DD5E4C9488BA264812959E</vt:lpwstr>
  </property>
  <property fmtid="{D5CDD505-2E9C-101B-9397-08002B2CF9AE}" pid="3" name="MediaServiceImageTags">
    <vt:lpwstr/>
  </property>
</Properties>
</file>